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4" activeTab="6"/>
  </bookViews>
  <sheets>
    <sheet name="ПРО тяга б.э." sheetId="1" r:id="rId1"/>
    <sheet name="Люб. тяга б.э." sheetId="2" r:id="rId2"/>
    <sheet name="ПРО жим софт мн.петельная" sheetId="3" r:id="rId3"/>
    <sheet name="Люб. жим жим софт мн.петельная" sheetId="4" r:id="rId4"/>
    <sheet name="Люб. жим 1 петельная" sheetId="5" r:id="rId5"/>
    <sheet name="ПРО жим б.э." sheetId="6" r:id="rId6"/>
    <sheet name="Люб. жим б.э." sheetId="7" r:id="rId7"/>
    <sheet name="СОВ жим" sheetId="8" r:id="rId8"/>
    <sheet name="ПРО Военный жим" sheetId="9" r:id="rId9"/>
    <sheet name="Люб. Военный жим" sheetId="10" r:id="rId10"/>
    <sheet name="ПРО ПЛ. б.э." sheetId="11" r:id="rId11"/>
    <sheet name="Люб. ПЛ. б.э." sheetId="12" r:id="rId12"/>
    <sheet name="Бицепс Любители" sheetId="13" r:id="rId13"/>
    <sheet name="Пауэрспорт Профессионалы" sheetId="14" r:id="rId14"/>
    <sheet name="Пауэрспорт Любители" sheetId="15" r:id="rId15"/>
    <sheet name="Жим стоя Профессионалы" sheetId="16" r:id="rId16"/>
    <sheet name="Русская тяга люб. 100 кг." sheetId="17" r:id="rId17"/>
    <sheet name="РЖ любители 100 кг." sheetId="18" r:id="rId18"/>
    <sheet name="РЖ любители 75 кг." sheetId="19" r:id="rId19"/>
    <sheet name="РЖ любители 55 кг." sheetId="20" r:id="rId20"/>
    <sheet name="РЖ Проф 125 кг." sheetId="21" r:id="rId21"/>
    <sheet name="РЖ Проф 100 кг." sheetId="22" r:id="rId22"/>
    <sheet name="РЖ Проф 75 кг." sheetId="23" r:id="rId23"/>
    <sheet name="РЖ Проф 55 кг." sheetId="24" r:id="rId24"/>
    <sheet name="РЖ Проф 35 кг." sheetId="25" r:id="rId25"/>
    <sheet name="Проф. народный жим 1_2 вес" sheetId="26" r:id="rId26"/>
    <sheet name="Проф. народный жим 1 вес" sheetId="27" r:id="rId27"/>
    <sheet name="Люб. народный жим 1_2 вес" sheetId="28" r:id="rId28"/>
    <sheet name="Люб. народный жим 1 вес" sheetId="29" r:id="rId29"/>
    <sheet name="Тяга двоеборье любители" sheetId="30" r:id="rId30"/>
    <sheet name="Жимовое двоеборье ПРО" sheetId="31" r:id="rId31"/>
    <sheet name="Жимовое двоеборье любители" sheetId="32" r:id="rId32"/>
    <sheet name="Двоеборье люб" sheetId="33" r:id="rId33"/>
    <sheet name="Стритлифтинг отжимание ПРО" sheetId="34" r:id="rId34"/>
    <sheet name="Стритлифтинг подтягивание люб" sheetId="35" r:id="rId35"/>
  </sheets>
  <definedNames/>
  <calcPr fullCalcOnLoad="1" refMode="R1C1"/>
</workbook>
</file>

<file path=xl/sharedStrings.xml><?xml version="1.0" encoding="utf-8"?>
<sst xmlns="http://schemas.openxmlformats.org/spreadsheetml/2006/main" count="3005" uniqueCount="809">
  <si>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</si>
  <si>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</si>
  <si>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</si>
  <si>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</si>
  <si>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</si>
  <si>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</si>
  <si>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</si>
  <si>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</si>
  <si>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</si>
  <si>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Европы "Железный уровень" ПЛ 23 - 25 августа
Любители пауэрлифтинг без экипировки
Москва/Москва 23 - 25 августа 2019 г.</t>
  </si>
  <si>
    <t>Shv/Mel</t>
  </si>
  <si>
    <t>Приседание</t>
  </si>
  <si>
    <t>Жим лёжа</t>
  </si>
  <si>
    <t>Становая тяга</t>
  </si>
  <si>
    <t>ВЕСОВАЯ КАТЕГОРИЯ   60</t>
  </si>
  <si>
    <t>Змиевская Татьяна</t>
  </si>
  <si>
    <t>1. Змиевская Татьяна</t>
  </si>
  <si>
    <t>Открытая (12.09.1990)/28</t>
  </si>
  <si>
    <t>58,50</t>
  </si>
  <si>
    <t xml:space="preserve">Стальное Звено </t>
  </si>
  <si>
    <t xml:space="preserve">Курчатов/Курская область </t>
  </si>
  <si>
    <t>85,0</t>
  </si>
  <si>
    <t>90,0</t>
  </si>
  <si>
    <t>100,0</t>
  </si>
  <si>
    <t>55,0</t>
  </si>
  <si>
    <t>60,0</t>
  </si>
  <si>
    <t>62,5</t>
  </si>
  <si>
    <t>112,5</t>
  </si>
  <si>
    <t>117,5</t>
  </si>
  <si>
    <t>120,0</t>
  </si>
  <si>
    <t xml:space="preserve"> </t>
  </si>
  <si>
    <t>ВЕСОВАЯ КАТЕГОРИЯ   67.5</t>
  </si>
  <si>
    <t>Гатаев Динислам</t>
  </si>
  <si>
    <t>1. Гатаев Динислам</t>
  </si>
  <si>
    <t>Открытая (23.10.1996)/22</t>
  </si>
  <si>
    <t>67,10</t>
  </si>
  <si>
    <t xml:space="preserve">СССР </t>
  </si>
  <si>
    <t xml:space="preserve">Карачаевск/Карачаево-Черкесия </t>
  </si>
  <si>
    <t>170,0</t>
  </si>
  <si>
    <t>180,0</t>
  </si>
  <si>
    <t>185,0</t>
  </si>
  <si>
    <t>125,0</t>
  </si>
  <si>
    <t>135,0</t>
  </si>
  <si>
    <t>140,0</t>
  </si>
  <si>
    <t>235,0</t>
  </si>
  <si>
    <t>245,0</t>
  </si>
  <si>
    <t>0,0</t>
  </si>
  <si>
    <t>Дамбинов Александр</t>
  </si>
  <si>
    <t>1. Дамбинов Александр</t>
  </si>
  <si>
    <t>Мастера 80+ (12.03.1936)/83</t>
  </si>
  <si>
    <t>66,10</t>
  </si>
  <si>
    <t xml:space="preserve">Лично </t>
  </si>
  <si>
    <t xml:space="preserve">Сальск/Ростовская область </t>
  </si>
  <si>
    <t>80,0o</t>
  </si>
  <si>
    <t>62,5o</t>
  </si>
  <si>
    <t>160,0o</t>
  </si>
  <si>
    <t>ВЕСОВАЯ КАТЕГОРИЯ   82.5</t>
  </si>
  <si>
    <t>Талагаев Максим</t>
  </si>
  <si>
    <t>1. Талагаев Максим</t>
  </si>
  <si>
    <t>Юниоры 20 - 23 (06.05.1997)/22</t>
  </si>
  <si>
    <t>76,10</t>
  </si>
  <si>
    <t xml:space="preserve">Домодедово/Московская область </t>
  </si>
  <si>
    <t>130,0</t>
  </si>
  <si>
    <t>200,0</t>
  </si>
  <si>
    <t>210,0</t>
  </si>
  <si>
    <t>Хаутиев Башир</t>
  </si>
  <si>
    <t>2. Хаутиев Башир</t>
  </si>
  <si>
    <t>Юниоры 20 - 23 (19.08.1999)/20</t>
  </si>
  <si>
    <t>80,00</t>
  </si>
  <si>
    <t xml:space="preserve">Владикавказ/Северная Осетия - Алания </t>
  </si>
  <si>
    <t>130,0o</t>
  </si>
  <si>
    <t>140,0o</t>
  </si>
  <si>
    <t>150,0</t>
  </si>
  <si>
    <t>137,5</t>
  </si>
  <si>
    <t>150,0o</t>
  </si>
  <si>
    <t>165,0o</t>
  </si>
  <si>
    <t>Жуков Алексей</t>
  </si>
  <si>
    <t>1. Жуков Алексей</t>
  </si>
  <si>
    <t>Открытая (19.09.1987)/31</t>
  </si>
  <si>
    <t>79,60</t>
  </si>
  <si>
    <t xml:space="preserve">Пермь/Пермский край </t>
  </si>
  <si>
    <t>190,0o</t>
  </si>
  <si>
    <t>195,0</t>
  </si>
  <si>
    <t>155,0o</t>
  </si>
  <si>
    <t>160,0</t>
  </si>
  <si>
    <t>210,0o</t>
  </si>
  <si>
    <t>227,5</t>
  </si>
  <si>
    <t>ВЕСОВАЯ КАТЕГОРИЯ   90</t>
  </si>
  <si>
    <t>Акопян Арсен</t>
  </si>
  <si>
    <t>1. Акопян Арсен</t>
  </si>
  <si>
    <t>Мастера 45 - 49 (23.06.1970)/49</t>
  </si>
  <si>
    <t>89,30</t>
  </si>
  <si>
    <t xml:space="preserve">КамиПауэрПро </t>
  </si>
  <si>
    <t xml:space="preserve">Москва </t>
  </si>
  <si>
    <t>165,0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</si>
  <si>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</si>
  <si>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</si>
  <si>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</si>
  <si>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</si>
  <si>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</si>
  <si>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</si>
  <si>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</si>
  <si>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</si>
  <si>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</si>
  <si>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</si>
  <si>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</si>
  <si>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</si>
  <si>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</si>
  <si>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60</t>
  </si>
  <si>
    <t>280,0</t>
  </si>
  <si>
    <t>246,2320</t>
  </si>
  <si>
    <t xml:space="preserve">Мужчины </t>
  </si>
  <si>
    <t xml:space="preserve">Юниоры </t>
  </si>
  <si>
    <t xml:space="preserve">Юниоры 20 - 23 </t>
  </si>
  <si>
    <t>82.5</t>
  </si>
  <si>
    <t>530,0</t>
  </si>
  <si>
    <t>351,6921</t>
  </si>
  <si>
    <t>435,0</t>
  </si>
  <si>
    <t>283,5708</t>
  </si>
  <si>
    <t>67.5</t>
  </si>
  <si>
    <t>570,0</t>
  </si>
  <si>
    <t>415,9290</t>
  </si>
  <si>
    <t>555,0</t>
  </si>
  <si>
    <t>352,5360</t>
  </si>
  <si>
    <t xml:space="preserve">Мастера </t>
  </si>
  <si>
    <t xml:space="preserve">Мастера 45 - 49 </t>
  </si>
  <si>
    <t>90</t>
  </si>
  <si>
    <t>495,0</t>
  </si>
  <si>
    <t>333,0293</t>
  </si>
  <si>
    <t xml:space="preserve">Мастера 80+ </t>
  </si>
  <si>
    <t>302,5</t>
  </si>
  <si>
    <t>223,7895</t>
  </si>
  <si>
    <t>Кубок Европы "Железный уровень" ПЛ 23 - 25 августа
ПРО пауэрлифтинг без экипировки
Москва/Москва 23 - 25 августа 2019 г.</t>
  </si>
  <si>
    <t>ВЕСОВАЯ КАТЕГОРИЯ   100</t>
  </si>
  <si>
    <t>Сизов Алексей</t>
  </si>
  <si>
    <t>1. Сизов Алексей</t>
  </si>
  <si>
    <t>Открытая (11.12.1979)/39</t>
  </si>
  <si>
    <t>97,40</t>
  </si>
  <si>
    <t>250,0</t>
  </si>
  <si>
    <t>260,0</t>
  </si>
  <si>
    <t>270,0</t>
  </si>
  <si>
    <t>212,5</t>
  </si>
  <si>
    <t>285,0</t>
  </si>
  <si>
    <t>300,0</t>
  </si>
  <si>
    <t>310,0</t>
  </si>
  <si>
    <t>Ухоботов Владимир</t>
  </si>
  <si>
    <t>1. Ухоботов Владимир</t>
  </si>
  <si>
    <t>Мастера 40 - 44 (18.06.1978)/41</t>
  </si>
  <si>
    <t>99,30</t>
  </si>
  <si>
    <t xml:space="preserve">Светогор </t>
  </si>
  <si>
    <t xml:space="preserve">Краснодар/Краснодарский край </t>
  </si>
  <si>
    <t>205,0</t>
  </si>
  <si>
    <t>215,0</t>
  </si>
  <si>
    <t>225,0</t>
  </si>
  <si>
    <t>145,0</t>
  </si>
  <si>
    <t>ВЕСОВАЯ КАТЕГОРИЯ   110</t>
  </si>
  <si>
    <t>Меркулов Виталий</t>
  </si>
  <si>
    <t>1. Меркулов Виталий</t>
  </si>
  <si>
    <t>Открытая (11.06.1990)/29</t>
  </si>
  <si>
    <t>109,90</t>
  </si>
  <si>
    <t>220,0</t>
  </si>
  <si>
    <t>155,0</t>
  </si>
  <si>
    <t>ВЕСОВАЯ КАТЕГОРИЯ   125</t>
  </si>
  <si>
    <t>Заплавский Дмитрий</t>
  </si>
  <si>
    <t>1. Заплавский Дмитрий</t>
  </si>
  <si>
    <t>Открытая (17.09.1984)/34</t>
  </si>
  <si>
    <t>118,90</t>
  </si>
  <si>
    <t>257,5</t>
  </si>
  <si>
    <t>265,0</t>
  </si>
  <si>
    <t>175,0</t>
  </si>
  <si>
    <t>182,5o</t>
  </si>
  <si>
    <t>190,0</t>
  </si>
  <si>
    <t>275,0</t>
  </si>
  <si>
    <t>282,5o</t>
  </si>
  <si>
    <t>290,0</t>
  </si>
  <si>
    <t>100</t>
  </si>
  <si>
    <t>780,0</t>
  </si>
  <si>
    <t>437,4240</t>
  </si>
  <si>
    <t>125</t>
  </si>
  <si>
    <t>715,0</t>
  </si>
  <si>
    <t>377,5200</t>
  </si>
  <si>
    <t>110</t>
  </si>
  <si>
    <t>645,0</t>
  </si>
  <si>
    <t>346,1070</t>
  </si>
  <si>
    <t xml:space="preserve">Мастера 40 - 44 </t>
  </si>
  <si>
    <t>665,0</t>
  </si>
  <si>
    <t>370,7158</t>
  </si>
  <si>
    <t>Кубок Европы "Железный уровень" ПЛ 23 - 25 августа
Любители военный жим
Москва/Москва 23 - 25 августа 2019 г.</t>
  </si>
  <si>
    <t>ВЕСОВАЯ КАТЕГОРИЯ   75</t>
  </si>
  <si>
    <t>Зубарев Андрей</t>
  </si>
  <si>
    <t>1. Зубарев Андрей</t>
  </si>
  <si>
    <t>Открытая (06.01.1985)/34</t>
  </si>
  <si>
    <t>73,00</t>
  </si>
  <si>
    <t xml:space="preserve">Белгород/Белгородская область </t>
  </si>
  <si>
    <t>110,0</t>
  </si>
  <si>
    <t>127,5</t>
  </si>
  <si>
    <t>115,0</t>
  </si>
  <si>
    <t>Лузин Сергей</t>
  </si>
  <si>
    <t>1. Лузин Сергей</t>
  </si>
  <si>
    <t>Мастера 65 - 69 (30.04.1954)/65</t>
  </si>
  <si>
    <t>87,00</t>
  </si>
  <si>
    <t>122,5</t>
  </si>
  <si>
    <t>Клименко Максим</t>
  </si>
  <si>
    <t>1. Клименко Максим</t>
  </si>
  <si>
    <t>Мастера 40 - 44 (03.03.1978)/41</t>
  </si>
  <si>
    <t>98,00</t>
  </si>
  <si>
    <t xml:space="preserve">Электрогорск/Московская область </t>
  </si>
  <si>
    <t>Тезиев Таймураз</t>
  </si>
  <si>
    <t>1. Тезиев Таймураз</t>
  </si>
  <si>
    <t>Мастера 40 - 44 (10.01.1976)/43</t>
  </si>
  <si>
    <t>108,70</t>
  </si>
  <si>
    <t>Дорофеев Александр</t>
  </si>
  <si>
    <t>1. Дорофеев Александр</t>
  </si>
  <si>
    <t>Открытая (26.02.1990)/29</t>
  </si>
  <si>
    <t>117,00</t>
  </si>
  <si>
    <t xml:space="preserve">Воронеж/Воронежская область </t>
  </si>
  <si>
    <t>Зайкин Андрей</t>
  </si>
  <si>
    <t>-. Зайкин Андрей</t>
  </si>
  <si>
    <t>Открытая (21.01.1984)/35</t>
  </si>
  <si>
    <t>116,00</t>
  </si>
  <si>
    <t>82,9463</t>
  </si>
  <si>
    <t>92,6800</t>
  </si>
  <si>
    <t>75</t>
  </si>
  <si>
    <t>86,5598</t>
  </si>
  <si>
    <t xml:space="preserve">Мастера 65 - 69 </t>
  </si>
  <si>
    <t>143,4720</t>
  </si>
  <si>
    <t>90,3847</t>
  </si>
  <si>
    <t>89,7244</t>
  </si>
  <si>
    <t>Результат</t>
  </si>
  <si>
    <t>Кубок Европы "Железный уровень" ПЛ 23 - 25 августа
ПРО военный жим
Москва/Москва 23 - 25 августа 2019 г.</t>
  </si>
  <si>
    <t>Арутюнян Карен</t>
  </si>
  <si>
    <t>1. Арутюнян Карен</t>
  </si>
  <si>
    <t>Мастера 40 - 44 (03.01.1976)/43</t>
  </si>
  <si>
    <t>162,5</t>
  </si>
  <si>
    <t>Мацур Виктор</t>
  </si>
  <si>
    <t>1. Мацур Виктор</t>
  </si>
  <si>
    <t>Мастера 50 - 54 (03.06.1965)/54</t>
  </si>
  <si>
    <t>112,00</t>
  </si>
  <si>
    <t>181,0</t>
  </si>
  <si>
    <t xml:space="preserve">Мастера 50 - 54 </t>
  </si>
  <si>
    <t>124,3351</t>
  </si>
  <si>
    <t>95,7897</t>
  </si>
  <si>
    <t>Кубок Европы "Железный уровень" ПЛ 23 - 25 августа
СОВ жим лежа
Москва/Москва 23 - 25 августа 2019 г.</t>
  </si>
  <si>
    <t>Богомолов Вадим</t>
  </si>
  <si>
    <t>1. Богомолов Вадим</t>
  </si>
  <si>
    <t>Мастера 55 - 59 (20.12.1963)/55</t>
  </si>
  <si>
    <t>107,20</t>
  </si>
  <si>
    <t xml:space="preserve">Фитнес Сити </t>
  </si>
  <si>
    <t xml:space="preserve">Мастера 55 - 59 </t>
  </si>
  <si>
    <t>96,9119</t>
  </si>
  <si>
    <t>Кубок Европы "Железный уровень" ПЛ 23 - 25 августа
Любители жим лежа без экипировки
Москва/Москва 23 - 25 августа 2019 г.</t>
  </si>
  <si>
    <t>ВЕСОВАЯ КАТЕГОРИЯ   48</t>
  </si>
  <si>
    <t>Сарапульцева Юлия</t>
  </si>
  <si>
    <t>1. Сарапульцева Юлия</t>
  </si>
  <si>
    <t>Открытая (24.11.1989)/29</t>
  </si>
  <si>
    <t>47,00</t>
  </si>
  <si>
    <t xml:space="preserve">Адреналин </t>
  </si>
  <si>
    <t xml:space="preserve">Кунгур/Пермский край </t>
  </si>
  <si>
    <t>52,5</t>
  </si>
  <si>
    <t>57,5</t>
  </si>
  <si>
    <t>Корецкая Мария</t>
  </si>
  <si>
    <t>1. Корецкая Мария</t>
  </si>
  <si>
    <t>Открытая (11.10.1981)/37</t>
  </si>
  <si>
    <t>62,10</t>
  </si>
  <si>
    <t>92,5</t>
  </si>
  <si>
    <t>ВЕСОВАЯ КАТЕГОРИЯ   52</t>
  </si>
  <si>
    <t>Волков Михаил</t>
  </si>
  <si>
    <t>1. Волков Михаил</t>
  </si>
  <si>
    <t>Юноши 18 - 19 (24.07.2001)/18</t>
  </si>
  <si>
    <t>50,50</t>
  </si>
  <si>
    <t xml:space="preserve">Тензор </t>
  </si>
  <si>
    <t xml:space="preserve">Ярославль/Ярославская область </t>
  </si>
  <si>
    <t>75,0</t>
  </si>
  <si>
    <t>82,5</t>
  </si>
  <si>
    <t>Гусев Андрей</t>
  </si>
  <si>
    <t>1. Гусев Андрей</t>
  </si>
  <si>
    <t>Юноши 18 - 19 (21.05.2000)/19</t>
  </si>
  <si>
    <t>66,00</t>
  </si>
  <si>
    <t>105,0</t>
  </si>
  <si>
    <t>Седов Андрей</t>
  </si>
  <si>
    <t>1. Седов Андрей</t>
  </si>
  <si>
    <t>Юноши 0-13 (21.06.2007)/12</t>
  </si>
  <si>
    <t>75,00</t>
  </si>
  <si>
    <t xml:space="preserve">Сергиев Посад/Московская область </t>
  </si>
  <si>
    <t>35,0o</t>
  </si>
  <si>
    <t>40,0o</t>
  </si>
  <si>
    <t>42,5</t>
  </si>
  <si>
    <t>Варшавский Илья</t>
  </si>
  <si>
    <t>1. Варшавский Илья</t>
  </si>
  <si>
    <t>Открытая (03.11.1991)/27</t>
  </si>
  <si>
    <t>74,10</t>
  </si>
  <si>
    <t xml:space="preserve">Любера (Люберцы) </t>
  </si>
  <si>
    <t>182,5</t>
  </si>
  <si>
    <t>Салосалов Сергей</t>
  </si>
  <si>
    <t>1. Салосалов Сергей</t>
  </si>
  <si>
    <t>Юноши 14-15 (11.09.2004)/14</t>
  </si>
  <si>
    <t>81,40</t>
  </si>
  <si>
    <t xml:space="preserve">Щёлково/Московская область </t>
  </si>
  <si>
    <t>Юршин Дмитрий</t>
  </si>
  <si>
    <t>1. Юршин Дмитрий</t>
  </si>
  <si>
    <t>Юноши 16 - 17 (27.08.2001)/17</t>
  </si>
  <si>
    <t>82,00</t>
  </si>
  <si>
    <t>152,5</t>
  </si>
  <si>
    <t>1. Хаутиев Башир</t>
  </si>
  <si>
    <t>135,0o</t>
  </si>
  <si>
    <t>Ламин Максим</t>
  </si>
  <si>
    <t>1. Ламин Максим</t>
  </si>
  <si>
    <t>Открытая (07.08.1993)/26</t>
  </si>
  <si>
    <t>81,20</t>
  </si>
  <si>
    <t xml:space="preserve">Пенза/Пензенская область </t>
  </si>
  <si>
    <t>157,5o</t>
  </si>
  <si>
    <t>170,0o</t>
  </si>
  <si>
    <t>Десов Леонид</t>
  </si>
  <si>
    <t>2. Десов Леонид</t>
  </si>
  <si>
    <t>Открытая (02.04.1993)/26</t>
  </si>
  <si>
    <t>82,10</t>
  </si>
  <si>
    <t>147,5o</t>
  </si>
  <si>
    <t>Сарапульцев Вадим</t>
  </si>
  <si>
    <t>1. Сарапульцев Вадим</t>
  </si>
  <si>
    <t>Мастера 45 - 49 (07.05.1971)/48</t>
  </si>
  <si>
    <t>79,90</t>
  </si>
  <si>
    <t>Анисимов Василий</t>
  </si>
  <si>
    <t>1. Анисимов Василий</t>
  </si>
  <si>
    <t>Открытая (15.12.1982)/36</t>
  </si>
  <si>
    <t>88,30</t>
  </si>
  <si>
    <t xml:space="preserve">Оренбург/Оренбургская область </t>
  </si>
  <si>
    <t>177,5</t>
  </si>
  <si>
    <t>Смирнов Александр</t>
  </si>
  <si>
    <t>2. Смирнов Александр</t>
  </si>
  <si>
    <t>Открытая (15.08.1994)/25</t>
  </si>
  <si>
    <t>88,50</t>
  </si>
  <si>
    <t>142,5</t>
  </si>
  <si>
    <t>Касатов Дмитрий</t>
  </si>
  <si>
    <t>1. Касатов Дмитрий</t>
  </si>
  <si>
    <t>Открытая (22.05.1977)/42</t>
  </si>
  <si>
    <t>97,30</t>
  </si>
  <si>
    <t xml:space="preserve">Касатов </t>
  </si>
  <si>
    <t>217,5</t>
  </si>
  <si>
    <t>Иванчук Алексей</t>
  </si>
  <si>
    <t>2. Иванчук Алексей</t>
  </si>
  <si>
    <t>Открытая (13.04.1991)/28</t>
  </si>
  <si>
    <t>98,10</t>
  </si>
  <si>
    <t xml:space="preserve">101 </t>
  </si>
  <si>
    <t>Березин Андрей</t>
  </si>
  <si>
    <t>2. Березин Андрей</t>
  </si>
  <si>
    <t>Мастера 40 - 44 (10.02.1975)/44</t>
  </si>
  <si>
    <t>93,20</t>
  </si>
  <si>
    <t xml:space="preserve">Курск/Курская область </t>
  </si>
  <si>
    <t>145,0o</t>
  </si>
  <si>
    <t>Безвербный Алексей</t>
  </si>
  <si>
    <t>1. Безвербный Алексей</t>
  </si>
  <si>
    <t>Мастера 45 - 49 (18.03.1973)/46</t>
  </si>
  <si>
    <t>95,00</t>
  </si>
  <si>
    <t>167,5</t>
  </si>
  <si>
    <t>Артамонов Дмитрий</t>
  </si>
  <si>
    <t>1. Артамонов Дмитрий</t>
  </si>
  <si>
    <t>Юноши 0-13 (01.04.2006)/13</t>
  </si>
  <si>
    <t>104,60</t>
  </si>
  <si>
    <t>60,0o</t>
  </si>
  <si>
    <t>70,0o</t>
  </si>
  <si>
    <t>75,0o</t>
  </si>
  <si>
    <t>Гусейнов Натик</t>
  </si>
  <si>
    <t>2. Гусейнов Натик</t>
  </si>
  <si>
    <t>Мастера 40 - 44 (16.01.1979)/40</t>
  </si>
  <si>
    <t>103,00</t>
  </si>
  <si>
    <t xml:space="preserve">Азербайджан </t>
  </si>
  <si>
    <t xml:space="preserve">Баку/ </t>
  </si>
  <si>
    <t>192,5</t>
  </si>
  <si>
    <t>2. Зайкин Андрей</t>
  </si>
  <si>
    <t>Алхазов Алихан</t>
  </si>
  <si>
    <t>1. Алхазов Алихан</t>
  </si>
  <si>
    <t>Мастера 50 - 54 (21.01.1968)/51</t>
  </si>
  <si>
    <t>123,00</t>
  </si>
  <si>
    <t>77,3670</t>
  </si>
  <si>
    <t>48</t>
  </si>
  <si>
    <t>63,1260</t>
  </si>
  <si>
    <t xml:space="preserve">Юноши </t>
  </si>
  <si>
    <t xml:space="preserve">Юноши 14-15 </t>
  </si>
  <si>
    <t>115,3310</t>
  </si>
  <si>
    <t xml:space="preserve">Юноши 16 - 17 </t>
  </si>
  <si>
    <t>102,4269</t>
  </si>
  <si>
    <t xml:space="preserve">Юноши 18 - 19 </t>
  </si>
  <si>
    <t>52</t>
  </si>
  <si>
    <t>86,1295</t>
  </si>
  <si>
    <t>84,7475</t>
  </si>
  <si>
    <t xml:space="preserve">Юноши 0-13 </t>
  </si>
  <si>
    <t>50,2209</t>
  </si>
  <si>
    <t>40,0</t>
  </si>
  <si>
    <t>32,6934</t>
  </si>
  <si>
    <t>88,0047</t>
  </si>
  <si>
    <t>122,4210</t>
  </si>
  <si>
    <t>122,0175</t>
  </si>
  <si>
    <t>106,4540</t>
  </si>
  <si>
    <t>105,1155</t>
  </si>
  <si>
    <t>101,9480</t>
  </si>
  <si>
    <t>98,1425</t>
  </si>
  <si>
    <t>96,3170</t>
  </si>
  <si>
    <t>84,2745</t>
  </si>
  <si>
    <t>83,8350</t>
  </si>
  <si>
    <t>115,0726</t>
  </si>
  <si>
    <t>106,1429</t>
  </si>
  <si>
    <t>101,6688</t>
  </si>
  <si>
    <t>98,6014</t>
  </si>
  <si>
    <t>91,1263</t>
  </si>
  <si>
    <t>88,7227</t>
  </si>
  <si>
    <t>82,1250</t>
  </si>
  <si>
    <t>Кубок Европы "Железный уровень" ПЛ 23 - 25 августа
ПРО жим лежа без экипировки
Москва/Москва 23 - 25 августа 2019 г.</t>
  </si>
  <si>
    <t>Бахтеев Дмитрий</t>
  </si>
  <si>
    <t>1. Бахтеев Дмитрий</t>
  </si>
  <si>
    <t>Мастера 50 - 54 (25.08.1966)/52</t>
  </si>
  <si>
    <t>80,90</t>
  </si>
  <si>
    <t xml:space="preserve">Кострома/Костромская область </t>
  </si>
  <si>
    <t>Гаврилюк Сергей</t>
  </si>
  <si>
    <t>1. Гаврилюк Сергей</t>
  </si>
  <si>
    <t>Открытая (02.09.1988)/30</t>
  </si>
  <si>
    <t>98,40</t>
  </si>
  <si>
    <t>Хупсароков Аскер</t>
  </si>
  <si>
    <t>1. Хупсароков Аскер</t>
  </si>
  <si>
    <t>Открытая (26.04.1987)/32</t>
  </si>
  <si>
    <t>112,30</t>
  </si>
  <si>
    <t>207,5</t>
  </si>
  <si>
    <t>113,4538</t>
  </si>
  <si>
    <t>108,8295</t>
  </si>
  <si>
    <t>131,4399</t>
  </si>
  <si>
    <t>102,4827</t>
  </si>
  <si>
    <t>Кубок Европы "Железный уровень" ПЛ 23 - 25 августа
Любители жим лежа в Софт экипировка однопетельная
Москва/Москва 23 - 25 августа 2019 г.</t>
  </si>
  <si>
    <t>Мужичкова Наталья</t>
  </si>
  <si>
    <t>1. Мужичкова Наталья</t>
  </si>
  <si>
    <t>Открытая (22.08.1990)/29</t>
  </si>
  <si>
    <t>60,00</t>
  </si>
  <si>
    <t xml:space="preserve">Клин/Московская область </t>
  </si>
  <si>
    <t>80,0</t>
  </si>
  <si>
    <t>95,0</t>
  </si>
  <si>
    <t>Гусарова Екатерина</t>
  </si>
  <si>
    <t>1. Гусарова Екатерина</t>
  </si>
  <si>
    <t>Открытая (21.10.1992)/26</t>
  </si>
  <si>
    <t>61,00</t>
  </si>
  <si>
    <t>Соловьев-Новиков Алексей</t>
  </si>
  <si>
    <t>1. Соловьев-Новиков Алексей</t>
  </si>
  <si>
    <t>Мастера 50 - 54 (08.07.1969)/50</t>
  </si>
  <si>
    <t>82,40</t>
  </si>
  <si>
    <t>Корчинский Василий</t>
  </si>
  <si>
    <t>1. Корчинский Василий</t>
  </si>
  <si>
    <t>Открытая (26.07.1981)/38</t>
  </si>
  <si>
    <t>99,90</t>
  </si>
  <si>
    <t xml:space="preserve">Химки/Московская область </t>
  </si>
  <si>
    <t>232,5</t>
  </si>
  <si>
    <t>78,5417</t>
  </si>
  <si>
    <t>77,4810</t>
  </si>
  <si>
    <t>121,9460</t>
  </si>
  <si>
    <t>109,0538</t>
  </si>
  <si>
    <t>Кубок Европы "Железный уровень" ПЛ 23 - 25 августа
Любители жим лежа в Софт экипировка многопетельная
Москва/Москва 23 - 25 августа 2019 г.</t>
  </si>
  <si>
    <t>Сухарев Кирилл</t>
  </si>
  <si>
    <t>1. Сухарев Кирилл</t>
  </si>
  <si>
    <t>Открытая (21.12.1993)/25</t>
  </si>
  <si>
    <t xml:space="preserve">Люберцы/Московская область </t>
  </si>
  <si>
    <t>305,0</t>
  </si>
  <si>
    <t>Щеславский Станислав</t>
  </si>
  <si>
    <t>2. Щеславский Станислав</t>
  </si>
  <si>
    <t>Открытая (15.04.1981)/38</t>
  </si>
  <si>
    <t>98,60</t>
  </si>
  <si>
    <t>272,5</t>
  </si>
  <si>
    <t>Сухарев Андрей</t>
  </si>
  <si>
    <t>1. Сухарев Андрей</t>
  </si>
  <si>
    <t>Открытая (22.07.1974)/45</t>
  </si>
  <si>
    <t>105,50</t>
  </si>
  <si>
    <t>325,0</t>
  </si>
  <si>
    <t>345,0</t>
  </si>
  <si>
    <t>357,5</t>
  </si>
  <si>
    <t>201,2400</t>
  </si>
  <si>
    <t>194,0868</t>
  </si>
  <si>
    <t>149,6610</t>
  </si>
  <si>
    <t>147,7375</t>
  </si>
  <si>
    <t>Кубок Европы "Железный уровень" ПЛ 23 - 25 августа
ПРО жим лежа в Софт экипировка многопетельная
Москва/Москва 23 - 25 августа 2019 г.</t>
  </si>
  <si>
    <t>Самардин Алексей</t>
  </si>
  <si>
    <t>1. Самардин Алексей</t>
  </si>
  <si>
    <t>Открытая (08.09.1983)/35</t>
  </si>
  <si>
    <t>79,30</t>
  </si>
  <si>
    <t>235,0o</t>
  </si>
  <si>
    <t>252,5o</t>
  </si>
  <si>
    <t>Жигулин Константин</t>
  </si>
  <si>
    <t>2. Жигулин Константин</t>
  </si>
  <si>
    <t>Открытая (03.10.1987)/31</t>
  </si>
  <si>
    <t>79,80</t>
  </si>
  <si>
    <t>Черствов Алексей</t>
  </si>
  <si>
    <t>1. Черствов Алексей</t>
  </si>
  <si>
    <t>Открытая (16.04.1981)/38</t>
  </si>
  <si>
    <t>117,50</t>
  </si>
  <si>
    <t xml:space="preserve">Дмитров/Московская область </t>
  </si>
  <si>
    <t>300,0o</t>
  </si>
  <si>
    <t>330,0</t>
  </si>
  <si>
    <t>Карякин Евгений</t>
  </si>
  <si>
    <t>2. Карякин Евгений</t>
  </si>
  <si>
    <t>Открытая (17.01.1979)/40</t>
  </si>
  <si>
    <t>118,80</t>
  </si>
  <si>
    <t>332,5</t>
  </si>
  <si>
    <t>Василенко Дмитрий</t>
  </si>
  <si>
    <t>1. Василенко Дмитрий</t>
  </si>
  <si>
    <t>Мастера 40 - 44 (03.06.1975)/44</t>
  </si>
  <si>
    <t>112,40</t>
  </si>
  <si>
    <t xml:space="preserve">Котельники/Московская область </t>
  </si>
  <si>
    <t>340,0</t>
  </si>
  <si>
    <t>Мастера 40 - 44 (17.01.1979)/40</t>
  </si>
  <si>
    <t>252,5</t>
  </si>
  <si>
    <t>160,8425</t>
  </si>
  <si>
    <t>158,7600</t>
  </si>
  <si>
    <t>158,5250</t>
  </si>
  <si>
    <t>147,8680</t>
  </si>
  <si>
    <t>187,1183</t>
  </si>
  <si>
    <t>Кубок Европы "Железный уровень" ПЛ 23 - 25 августа
Любители становая тяга без экипировки
Москва/Москва 23 - 25 августа 2019 г.</t>
  </si>
  <si>
    <t>Ляхова Полина</t>
  </si>
  <si>
    <t>1. Ляхова Полина</t>
  </si>
  <si>
    <t>Открытая (22.06.1993)/26</t>
  </si>
  <si>
    <t>58,00</t>
  </si>
  <si>
    <t>Юниоры 20 - 23 (23.10.1996)/22</t>
  </si>
  <si>
    <t>Фролов Евгений</t>
  </si>
  <si>
    <t>1. Фролов Евгений</t>
  </si>
  <si>
    <t>Открытая (11.05.1983)/36</t>
  </si>
  <si>
    <t>72,80</t>
  </si>
  <si>
    <t xml:space="preserve">Балашиха/Московская область </t>
  </si>
  <si>
    <t>200,0o</t>
  </si>
  <si>
    <t>205,0o</t>
  </si>
  <si>
    <t>Решетников Александр</t>
  </si>
  <si>
    <t>1. Решетников Александр</t>
  </si>
  <si>
    <t>Открытая (29.05.1990)/29</t>
  </si>
  <si>
    <t>81,00</t>
  </si>
  <si>
    <t xml:space="preserve">Киров/Кировская область </t>
  </si>
  <si>
    <t>202,5o</t>
  </si>
  <si>
    <t>212,5o</t>
  </si>
  <si>
    <t>99,6412</t>
  </si>
  <si>
    <t>180,5643</t>
  </si>
  <si>
    <t>139,5025</t>
  </si>
  <si>
    <t>136,4378</t>
  </si>
  <si>
    <t>132,0475</t>
  </si>
  <si>
    <t>118,3680</t>
  </si>
  <si>
    <t>Кубок Европы "Железный уровень" ПЛ 23 - 25 августа
ПРО становая тяга без экипировки
Москва/Москва 23 - 25 августа 2019 г.</t>
  </si>
  <si>
    <t>Велиал Ника</t>
  </si>
  <si>
    <t>1. Велиал Ника</t>
  </si>
  <si>
    <t>Открытая (25.11.1992)/26</t>
  </si>
  <si>
    <t>64,20</t>
  </si>
  <si>
    <t>147,5</t>
  </si>
  <si>
    <t>Зубков Павел</t>
  </si>
  <si>
    <t>1. Зубков Павел</t>
  </si>
  <si>
    <t>Открытая (22.12.1985)/33</t>
  </si>
  <si>
    <t>82,50</t>
  </si>
  <si>
    <t>Виноградов Олег</t>
  </si>
  <si>
    <t>1. Виноградов Олег</t>
  </si>
  <si>
    <t>Открытая (09.06.1990)/29</t>
  </si>
  <si>
    <t>102,80</t>
  </si>
  <si>
    <t>119,9470</t>
  </si>
  <si>
    <t>191,9830</t>
  </si>
  <si>
    <t>169,8490</t>
  </si>
  <si>
    <t>Кубок Европы "Железный уровень" ПЛ 23 - 25 августа
Силовое двоеборье любители
Москва/Москва 23 - 25 августа 2019 г.</t>
  </si>
  <si>
    <t>195,5661</t>
  </si>
  <si>
    <t>86,9463</t>
  </si>
  <si>
    <t>Трофимов Дмитрий</t>
  </si>
  <si>
    <t>88,20</t>
  </si>
  <si>
    <t>Мастера 45 - 49 (18.02.1974)/45</t>
  </si>
  <si>
    <t>1. Трофимов Дмитрий</t>
  </si>
  <si>
    <t>Подъем на бицепс</t>
  </si>
  <si>
    <t>Жим стоя</t>
  </si>
  <si>
    <t>Собственный
вес</t>
  </si>
  <si>
    <t>Кубок Европы "Железный уровень" ПС 23 - 25 августа
Пауэрспорт Профессионалы
Москва/Москва 23 - 25 августа 2019 г.</t>
  </si>
  <si>
    <t>38,7151</t>
  </si>
  <si>
    <t>Колистратов Дмитрий</t>
  </si>
  <si>
    <t>39,6060</t>
  </si>
  <si>
    <t>Кропотов Владимир</t>
  </si>
  <si>
    <t>34,5015</t>
  </si>
  <si>
    <t>36,6812</t>
  </si>
  <si>
    <t>Панков Борис</t>
  </si>
  <si>
    <t>39,0368</t>
  </si>
  <si>
    <t>39,1287</t>
  </si>
  <si>
    <t>67,5</t>
  </si>
  <si>
    <t xml:space="preserve">Тула/Тульская область </t>
  </si>
  <si>
    <t>89,60</t>
  </si>
  <si>
    <t>Открытая (26.04.1993)/26</t>
  </si>
  <si>
    <t>1. Панков Борис</t>
  </si>
  <si>
    <t>65,0</t>
  </si>
  <si>
    <t>80,20</t>
  </si>
  <si>
    <t>Мастера 40 - 44 (12.01.1978)/41</t>
  </si>
  <si>
    <t>1. Кропотов Владимир</t>
  </si>
  <si>
    <t>47,5</t>
  </si>
  <si>
    <t xml:space="preserve">Крокус фитнес </t>
  </si>
  <si>
    <t>74,60</t>
  </si>
  <si>
    <t>Мастера 40 - 44 (08.03.1977)/42</t>
  </si>
  <si>
    <t>1. Колистратов Дмитрий</t>
  </si>
  <si>
    <t>2. Зубарев Андрей</t>
  </si>
  <si>
    <t>57,5o</t>
  </si>
  <si>
    <t>52,5o</t>
  </si>
  <si>
    <t>Кубок Европы "Железный уровень" ПС 23 - 25 августа
Одиночный подъём штанги на бицепс Любители
Москва/Москва 23 - 25 августа 2019 г.</t>
  </si>
  <si>
    <t>Кубок Европы "Железный уровень" ПС 23 - 25 августа
Пауэрспорт Любители
Москва/Москва 23 - 25 августа 2019 г.</t>
  </si>
  <si>
    <t>72,5</t>
  </si>
  <si>
    <t>77,5</t>
  </si>
  <si>
    <t>1. Карпов Дмитрий</t>
  </si>
  <si>
    <t>Открытая (04.06.1991)/28</t>
  </si>
  <si>
    <t>83,90</t>
  </si>
  <si>
    <t>70,0</t>
  </si>
  <si>
    <t>65,0o</t>
  </si>
  <si>
    <t>Карпов Дмитрий</t>
  </si>
  <si>
    <t>88,7690</t>
  </si>
  <si>
    <t>88,7174</t>
  </si>
  <si>
    <t>49,6836</t>
  </si>
  <si>
    <t>Кубок Европы "Железный уровень" ПС 23 - 25 августа
Одиночный жим штанги стоя Профессионалы
Москва/Москва 23 - 25 августа 2019 г.</t>
  </si>
  <si>
    <t>48,6542</t>
  </si>
  <si>
    <t>4700,0</t>
  </si>
  <si>
    <t>All</t>
  </si>
  <si>
    <t>Симонов Алексей</t>
  </si>
  <si>
    <t xml:space="preserve">Атлетизм </t>
  </si>
  <si>
    <t>47,0</t>
  </si>
  <si>
    <t>100,0o</t>
  </si>
  <si>
    <t>96,60</t>
  </si>
  <si>
    <t>Мастера 45 - 49 (08.12.1973)/45</t>
  </si>
  <si>
    <t>1. Симонов Алексей</t>
  </si>
  <si>
    <t>ВЕСОВАЯ КАТЕГОРИЯ   All</t>
  </si>
  <si>
    <t>Повторы</t>
  </si>
  <si>
    <t>Вес</t>
  </si>
  <si>
    <t>Тоннаж</t>
  </si>
  <si>
    <t>Русская становая</t>
  </si>
  <si>
    <t>Атлетизм</t>
  </si>
  <si>
    <t>Кубок Европы "Железный уровень" РЖ 23 - 25 августа
Русская станова тяга любители 100 кг.
Москва/Москва 23 - 25 августа 2019 г.</t>
  </si>
  <si>
    <t>21,3675</t>
  </si>
  <si>
    <t>2500,0</t>
  </si>
  <si>
    <t>25,0</t>
  </si>
  <si>
    <t>Русский жим</t>
  </si>
  <si>
    <t>Кубок Европы "Железный уровень" РЖ 23 - 25 августа
Русский жим любители 100 кг.
Москва/Москва 23 - 25 августа 2019 г.</t>
  </si>
  <si>
    <t>53,3295</t>
  </si>
  <si>
    <t>4725,0</t>
  </si>
  <si>
    <t>Терехин Юрий</t>
  </si>
  <si>
    <t>63,0</t>
  </si>
  <si>
    <t>88,60</t>
  </si>
  <si>
    <t>Мастера 40 - 44 (23.05.1975)/44</t>
  </si>
  <si>
    <t>1. Терехин Юрий</t>
  </si>
  <si>
    <t>Кубок Европы "Железный уровень" РЖ 23 - 25 августа
Русский жим любители 75 кг.
Москва/Москва 23 - 25 августа 2019 г.</t>
  </si>
  <si>
    <t>29,9367</t>
  </si>
  <si>
    <t>2365,0</t>
  </si>
  <si>
    <t>Мухин Олег</t>
  </si>
  <si>
    <t>34,7308</t>
  </si>
  <si>
    <t>3355,0</t>
  </si>
  <si>
    <t>36,9531</t>
  </si>
  <si>
    <t>Федоров Альберт</t>
  </si>
  <si>
    <t>30,3797</t>
  </si>
  <si>
    <t>2640,0</t>
  </si>
  <si>
    <t>Кротенко Дмитрий</t>
  </si>
  <si>
    <t>30,9983</t>
  </si>
  <si>
    <t>1925,0</t>
  </si>
  <si>
    <t>43,0</t>
  </si>
  <si>
    <t>79,00</t>
  </si>
  <si>
    <t>Мастера 55 - 59 (14.09.1961)/57</t>
  </si>
  <si>
    <t>1. Мухин Олег</t>
  </si>
  <si>
    <t>61,0</t>
  </si>
  <si>
    <t>55,0o</t>
  </si>
  <si>
    <t xml:space="preserve">Йошкар-Ола/Марий Эл республика </t>
  </si>
  <si>
    <t>64,00</t>
  </si>
  <si>
    <t>Мастера 40 - 44 (15.01.1977)/42</t>
  </si>
  <si>
    <t>1. Федоров Альберт</t>
  </si>
  <si>
    <t>Открытая (14.09.1961)/57</t>
  </si>
  <si>
    <t>2. Мухин Олег</t>
  </si>
  <si>
    <t>48,0</t>
  </si>
  <si>
    <t xml:space="preserve">Фрязино/Московская область </t>
  </si>
  <si>
    <t>86,90</t>
  </si>
  <si>
    <t>Открытая (27.02.1987)/32</t>
  </si>
  <si>
    <t>1. Кротенко Дмитрий</t>
  </si>
  <si>
    <t>35,0</t>
  </si>
  <si>
    <t>Кубок Европы "Железный уровень" РЖ 23 - 25 августа
Русский жим любители 55 кг.
Москва/Москва 23 - 25 августа 2019 г.</t>
  </si>
  <si>
    <t>35,0701</t>
  </si>
  <si>
    <t>3500,0</t>
  </si>
  <si>
    <t>Бардин Владимир</t>
  </si>
  <si>
    <t>28,0</t>
  </si>
  <si>
    <t>99,80</t>
  </si>
  <si>
    <t>Открытая (13.01.1985)/34</t>
  </si>
  <si>
    <t>1. Бардин Владимир</t>
  </si>
  <si>
    <t>Кубок Европы "Железный уровень" РЖ 23 - 25 августа
Русский жим профессионалы 125 кг.
Москва/Москва 23 - 25 августа 2019 г.</t>
  </si>
  <si>
    <t>41,4798</t>
  </si>
  <si>
    <t>3700,0</t>
  </si>
  <si>
    <t>Галицин Геннадий</t>
  </si>
  <si>
    <t>37,0</t>
  </si>
  <si>
    <t>89,20</t>
  </si>
  <si>
    <t>Открытая (15.04.1985)/34</t>
  </si>
  <si>
    <t>1. Галицин Геннадий</t>
  </si>
  <si>
    <t>Кубок Европы "Железный уровень" РЖ 23 - 25 августа
Русский жим профессионалы 100 кг.
Москва/Москва 23 - 25 августа 2019 г.</t>
  </si>
  <si>
    <t>37,8947</t>
  </si>
  <si>
    <t>3600,0</t>
  </si>
  <si>
    <t>Дыкин Михаил</t>
  </si>
  <si>
    <t>38,2947</t>
  </si>
  <si>
    <t>3975,0</t>
  </si>
  <si>
    <t>Сухопаров Сергей</t>
  </si>
  <si>
    <t>Мастера 45 - 49 (07.11.1971)/47</t>
  </si>
  <si>
    <t>1. Дыкин Михаил</t>
  </si>
  <si>
    <t>53,0</t>
  </si>
  <si>
    <t xml:space="preserve">Минск/ </t>
  </si>
  <si>
    <t>103,80</t>
  </si>
  <si>
    <t>Открытая (15.11.1981)/37</t>
  </si>
  <si>
    <t>1. Сухопаров Сергей</t>
  </si>
  <si>
    <t>Кубок Европы "Железный уровень" РЖ 23 - 25 августа
Русский жим профессионалы 75 кг.
Москва/Москва 23 - 25 августа 2019 г.</t>
  </si>
  <si>
    <t>157,4761</t>
  </si>
  <si>
    <t>14850,0</t>
  </si>
  <si>
    <t>Киян Андрей</t>
  </si>
  <si>
    <t>26,5576</t>
  </si>
  <si>
    <t>1705,0</t>
  </si>
  <si>
    <t>94,30</t>
  </si>
  <si>
    <t>Мастера 45 - 49 (17.06.1974)/45</t>
  </si>
  <si>
    <t>1. Киян Андрей</t>
  </si>
  <si>
    <t>Открытая (17.06.1974)/45</t>
  </si>
  <si>
    <t>31,0</t>
  </si>
  <si>
    <t>2. Велиал Ника</t>
  </si>
  <si>
    <t>Кубок Европы "Железный уровень" РЖ 23 - 25 августа
Русский жим профессионалы 55 кг.
Москва/Москва 23 - 25 августа 2019 г.</t>
  </si>
  <si>
    <t>109,1743</t>
  </si>
  <si>
    <t>5950,0</t>
  </si>
  <si>
    <t>Карнаушкина Ирина</t>
  </si>
  <si>
    <t>54,50</t>
  </si>
  <si>
    <t>Мастера 45 - 49 (30.06.1972)/47</t>
  </si>
  <si>
    <t>1. Карнаушкина Ирина</t>
  </si>
  <si>
    <t>Кубок Европы "Железный уровень" РЖ 23 - 25 августа
Русский жим профессионалы 35 кг.
Москва/Москва 23 - 25 августа 2019 г.</t>
  </si>
  <si>
    <t>1860,5161</t>
  </si>
  <si>
    <t>2520,0</t>
  </si>
  <si>
    <t xml:space="preserve">НАП Н.Ж. </t>
  </si>
  <si>
    <t>56,0</t>
  </si>
  <si>
    <t>45,0</t>
  </si>
  <si>
    <t>Народный жим</t>
  </si>
  <si>
    <t>НАП Н.Ж.</t>
  </si>
  <si>
    <t>Кубок Европы "Железный уровень" НЖ 23 - 25 августа
Профессионалы народный жим (1/2 вес)
Москва/Москва 23 - 25 августа 2019 г.</t>
  </si>
  <si>
    <t>947,8800</t>
  </si>
  <si>
    <t>1200,0</t>
  </si>
  <si>
    <t>2786,7869</t>
  </si>
  <si>
    <t>3870,0</t>
  </si>
  <si>
    <t>2887,9949</t>
  </si>
  <si>
    <t>3795,0</t>
  </si>
  <si>
    <t>Климачевский Денис</t>
  </si>
  <si>
    <t>2921,8034</t>
  </si>
  <si>
    <t>4305,0</t>
  </si>
  <si>
    <t>3182,8800</t>
  </si>
  <si>
    <t>4800,0</t>
  </si>
  <si>
    <t>1474,3750</t>
  </si>
  <si>
    <t>1562,5</t>
  </si>
  <si>
    <t>41,0</t>
  </si>
  <si>
    <t>15,0</t>
  </si>
  <si>
    <t>46,0</t>
  </si>
  <si>
    <t>82,5o</t>
  </si>
  <si>
    <t xml:space="preserve">Нижневартовск/Ханты-Мансийский авт. окр. </t>
  </si>
  <si>
    <t>Открытая (04.04.1980)/39</t>
  </si>
  <si>
    <t>1. Климачевский Денис</t>
  </si>
  <si>
    <t>61,20</t>
  </si>
  <si>
    <t>Кубок Европы "Железный уровень" НЖ 23 - 25 августа
Профессионалы народный жим (1 вес)
Москва/Москва 23 - 25 августа 2019 г.</t>
  </si>
  <si>
    <t>Кубок Европы "Железный уровень" НЖ 23 - 25 августа
Любители народный жим (1/2 вес)
Москва/Москва 23 - 25 августа 2019 г.</t>
  </si>
  <si>
    <t>1659,9240</t>
  </si>
  <si>
    <t>1960,0</t>
  </si>
  <si>
    <t>Байкулов Дмитрий</t>
  </si>
  <si>
    <t>1253,3960</t>
  </si>
  <si>
    <t>1880,0</t>
  </si>
  <si>
    <t>1881,0000</t>
  </si>
  <si>
    <t>2475,0</t>
  </si>
  <si>
    <t>2692,2375</t>
  </si>
  <si>
    <t>3375,0</t>
  </si>
  <si>
    <t>Стрельников Валерий</t>
  </si>
  <si>
    <t>1927,0350</t>
  </si>
  <si>
    <t>2550,0</t>
  </si>
  <si>
    <t>Алхазов Радмир</t>
  </si>
  <si>
    <t>1453,1250</t>
  </si>
  <si>
    <t>16,0</t>
  </si>
  <si>
    <t>30,0</t>
  </si>
  <si>
    <t>85,00</t>
  </si>
  <si>
    <t>Юниоры 20 - 23 (01.12.1996)/22</t>
  </si>
  <si>
    <t>1. Алхазов Радмир</t>
  </si>
  <si>
    <t>1. Десов Леонид</t>
  </si>
  <si>
    <t xml:space="preserve">Астрахань/Астраханская область </t>
  </si>
  <si>
    <t>69,70</t>
  </si>
  <si>
    <t>Мастера 50 - 54 (13.11.1966)/52</t>
  </si>
  <si>
    <t>1. Байкулов Дмитрий</t>
  </si>
  <si>
    <t>74,00</t>
  </si>
  <si>
    <t>Открытая (25.03.1981)/38</t>
  </si>
  <si>
    <t>1. Стрельников Валерий</t>
  </si>
  <si>
    <t>Кубок Европы "Железный уровень" НЖ 23 - 25 августа
Любители народный жим (1 вес)
Москва/Москва 23 - 25 августа 2019 г.</t>
  </si>
  <si>
    <t>Кубок Европы "Железный уровень" 23 - 25 августа
Жимовое двоеборье любители
Москва/Москва 23 - 25 августа 2019 г.</t>
  </si>
  <si>
    <t>ВЕСОВАЯ КАТЕГОРИЯ   67,5</t>
  </si>
  <si>
    <t>85</t>
  </si>
  <si>
    <t>Вес штанги</t>
  </si>
  <si>
    <t>Повторения</t>
  </si>
  <si>
    <t>25</t>
  </si>
  <si>
    <t>87,5</t>
  </si>
  <si>
    <t>17</t>
  </si>
  <si>
    <t>142</t>
  </si>
  <si>
    <t>180</t>
  </si>
  <si>
    <t>190</t>
  </si>
  <si>
    <t>16</t>
  </si>
  <si>
    <t>208,5</t>
  </si>
  <si>
    <t>ВЕСОВАЯ КАТЕГОРИЯ   82,5</t>
  </si>
  <si>
    <t>195</t>
  </si>
  <si>
    <t>200</t>
  </si>
  <si>
    <t>46</t>
  </si>
  <si>
    <t>246</t>
  </si>
  <si>
    <t>Кубок Европы "Железный уровень" 23 - 25 августа
Жимовое двоеборье ПРО
Москва/Москва 23 - 25 августа 2019 г.</t>
  </si>
  <si>
    <t>Кубок Европы "Железный уровень" 23 - 25 августа
Тяга двоеборье любители
Москва/Москва 23 - 25 августа 2019 г.</t>
  </si>
  <si>
    <t>Тяга классическая</t>
  </si>
  <si>
    <t>3</t>
  </si>
  <si>
    <t>-</t>
  </si>
  <si>
    <t>ВЕСОВАЯ КАТЕГОРИЯ   42.5</t>
  </si>
  <si>
    <t>1. Фаворский Артем</t>
  </si>
  <si>
    <t>Юниоры (18.06.2007)/13</t>
  </si>
  <si>
    <t>36,2</t>
  </si>
  <si>
    <t>Лично</t>
  </si>
  <si>
    <t>5</t>
  </si>
  <si>
    <t>10</t>
  </si>
  <si>
    <t>1. Томинг Сергей</t>
  </si>
  <si>
    <t>Мастера 50-54 (09.12.1968)/50</t>
  </si>
  <si>
    <t>71,4</t>
  </si>
  <si>
    <t>Санкт-Петербург</t>
  </si>
  <si>
    <t>24</t>
  </si>
  <si>
    <r>
      <t xml:space="preserve">Кубок Европы "Железный уровень" 23 - 25 августа
</t>
    </r>
    <r>
      <rPr>
        <b/>
        <sz val="22"/>
        <rFont val="Arial Cyr"/>
        <family val="0"/>
      </rPr>
      <t>Стритлифтинг многоповторный: отжимание от брусьев</t>
    </r>
    <r>
      <rPr>
        <b/>
        <sz val="24"/>
        <rFont val="Arial Cyr"/>
        <family val="0"/>
      </rPr>
      <t xml:space="preserve">
Москва 23 - 25 августа 2019 г.</t>
    </r>
  </si>
  <si>
    <t>Кубок Европы "Железный уровень" 23 - 25 августа
Стритлифтинг классический: подтягивание любители
Москва 23 - 25 августа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</si>
</sst>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24"/>
      <name val="Arial Cyr"/>
      <family val="2"/>
    </font>
    <font>
      <b/>
      <sz val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5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535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13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537</v>
      </c>
      <c r="B6" s="7" t="s">
        <v>538</v>
      </c>
      <c r="C6" s="7" t="s">
        <v>539</v>
      </c>
      <c r="D6" s="7" t="str">
        <f>"0,8132"</f>
        <v>0,8132</v>
      </c>
      <c r="E6" s="7" t="s">
        <v>92</v>
      </c>
      <c r="F6" s="7" t="s">
        <v>93</v>
      </c>
      <c r="G6" s="8" t="s">
        <v>62</v>
      </c>
      <c r="H6" s="8" t="s">
        <v>43</v>
      </c>
      <c r="I6" s="8" t="s">
        <v>540</v>
      </c>
      <c r="J6" s="9"/>
      <c r="K6" s="7" t="str">
        <f>"147,5"</f>
        <v>147,5</v>
      </c>
      <c r="L6" s="8" t="str">
        <f>"119,9470"</f>
        <v>119,9470</v>
      </c>
      <c r="M6" s="7" t="s">
        <v>30</v>
      </c>
    </row>
    <row r="8" spans="1:12" ht="15">
      <c r="A8" s="58" t="s">
        <v>56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542</v>
      </c>
      <c r="B9" s="7" t="s">
        <v>543</v>
      </c>
      <c r="C9" s="7" t="s">
        <v>544</v>
      </c>
      <c r="D9" s="7" t="str">
        <f>"0,6193"</f>
        <v>0,6193</v>
      </c>
      <c r="E9" s="7" t="s">
        <v>92</v>
      </c>
      <c r="F9" s="7" t="s">
        <v>445</v>
      </c>
      <c r="G9" s="8" t="s">
        <v>174</v>
      </c>
      <c r="H9" s="8" t="s">
        <v>144</v>
      </c>
      <c r="I9" s="9"/>
      <c r="J9" s="9"/>
      <c r="K9" s="7" t="str">
        <f>"310,0"</f>
        <v>310,0</v>
      </c>
      <c r="L9" s="8" t="str">
        <f>"191,9830"</f>
        <v>191,9830</v>
      </c>
      <c r="M9" s="7" t="s">
        <v>30</v>
      </c>
    </row>
    <row r="11" spans="1:12" ht="15">
      <c r="A11" s="58" t="s">
        <v>155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546</v>
      </c>
      <c r="B12" s="7" t="s">
        <v>547</v>
      </c>
      <c r="C12" s="7" t="s">
        <v>548</v>
      </c>
      <c r="D12" s="7" t="str">
        <f>"0,5479"</f>
        <v>0,5479</v>
      </c>
      <c r="E12" s="7" t="s">
        <v>92</v>
      </c>
      <c r="F12" s="7" t="s">
        <v>93</v>
      </c>
      <c r="G12" s="8" t="s">
        <v>144</v>
      </c>
      <c r="H12" s="9" t="s">
        <v>501</v>
      </c>
      <c r="I12" s="9"/>
      <c r="J12" s="9"/>
      <c r="K12" s="7" t="str">
        <f>"310,0"</f>
        <v>310,0</v>
      </c>
      <c r="L12" s="8" t="str">
        <f>"169,8490"</f>
        <v>169,8490</v>
      </c>
      <c r="M12" s="7" t="s">
        <v>30</v>
      </c>
    </row>
    <row r="14" ht="15">
      <c r="E14" s="20" t="s">
        <v>95</v>
      </c>
    </row>
    <row r="15" ht="15">
      <c r="E15" s="20" t="s">
        <v>96</v>
      </c>
    </row>
    <row r="16" ht="15">
      <c r="E16" s="20" t="s">
        <v>97</v>
      </c>
    </row>
    <row r="17" ht="15">
      <c r="E17" s="20" t="s">
        <v>98</v>
      </c>
    </row>
    <row r="18" ht="15">
      <c r="E18" s="20" t="s">
        <v>98</v>
      </c>
    </row>
    <row r="19" ht="15">
      <c r="E19" s="20" t="s">
        <v>99</v>
      </c>
    </row>
    <row r="20" ht="15">
      <c r="E20" s="20"/>
    </row>
    <row r="22" spans="1:2" ht="18">
      <c r="A22" s="21" t="s">
        <v>100</v>
      </c>
      <c r="B22" s="21"/>
    </row>
    <row r="23" spans="1:2" ht="15">
      <c r="A23" s="22" t="s">
        <v>101</v>
      </c>
      <c r="B23" s="22"/>
    </row>
    <row r="24" spans="1:2" ht="14.25">
      <c r="A24" s="24"/>
      <c r="B24" s="25" t="s">
        <v>102</v>
      </c>
    </row>
    <row r="25" spans="1:5" ht="15">
      <c r="A25" s="26" t="s">
        <v>103</v>
      </c>
      <c r="B25" s="26" t="s">
        <v>104</v>
      </c>
      <c r="C25" s="26" t="s">
        <v>105</v>
      </c>
      <c r="D25" s="26" t="s">
        <v>106</v>
      </c>
      <c r="E25" s="26" t="s">
        <v>107</v>
      </c>
    </row>
    <row r="26" spans="1:5" ht="12.75">
      <c r="A26" s="23" t="s">
        <v>536</v>
      </c>
      <c r="B26" s="4" t="s">
        <v>102</v>
      </c>
      <c r="C26" s="4" t="s">
        <v>119</v>
      </c>
      <c r="D26" s="4" t="s">
        <v>540</v>
      </c>
      <c r="E26" s="27" t="s">
        <v>549</v>
      </c>
    </row>
    <row r="29" spans="1:2" ht="15">
      <c r="A29" s="22" t="s">
        <v>111</v>
      </c>
      <c r="B29" s="22"/>
    </row>
    <row r="30" spans="1:2" ht="14.25">
      <c r="A30" s="24"/>
      <c r="B30" s="25" t="s">
        <v>102</v>
      </c>
    </row>
    <row r="31" spans="1:5" ht="15">
      <c r="A31" s="26" t="s">
        <v>103</v>
      </c>
      <c r="B31" s="26" t="s">
        <v>104</v>
      </c>
      <c r="C31" s="26" t="s">
        <v>105</v>
      </c>
      <c r="D31" s="26" t="s">
        <v>106</v>
      </c>
      <c r="E31" s="26" t="s">
        <v>107</v>
      </c>
    </row>
    <row r="32" spans="1:5" ht="12.75">
      <c r="A32" s="23" t="s">
        <v>541</v>
      </c>
      <c r="B32" s="4" t="s">
        <v>102</v>
      </c>
      <c r="C32" s="4" t="s">
        <v>114</v>
      </c>
      <c r="D32" s="4" t="s">
        <v>144</v>
      </c>
      <c r="E32" s="27" t="s">
        <v>550</v>
      </c>
    </row>
    <row r="33" spans="1:5" ht="12.75">
      <c r="A33" s="23" t="s">
        <v>545</v>
      </c>
      <c r="B33" s="4" t="s">
        <v>102</v>
      </c>
      <c r="C33" s="4" t="s">
        <v>181</v>
      </c>
      <c r="D33" s="4" t="s">
        <v>144</v>
      </c>
      <c r="E33" s="27" t="s">
        <v>551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187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188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190</v>
      </c>
      <c r="B6" s="7" t="s">
        <v>191</v>
      </c>
      <c r="C6" s="7" t="s">
        <v>192</v>
      </c>
      <c r="D6" s="7" t="str">
        <f>"0,6789"</f>
        <v>0,6789</v>
      </c>
      <c r="E6" s="7" t="s">
        <v>19</v>
      </c>
      <c r="F6" s="7" t="s">
        <v>193</v>
      </c>
      <c r="G6" s="8" t="s">
        <v>194</v>
      </c>
      <c r="H6" s="8" t="s">
        <v>195</v>
      </c>
      <c r="I6" s="9" t="s">
        <v>154</v>
      </c>
      <c r="J6" s="9"/>
      <c r="K6" s="7" t="str">
        <f>"127,5"</f>
        <v>127,5</v>
      </c>
      <c r="L6" s="8" t="str">
        <f>"86,5598"</f>
        <v>86,5598</v>
      </c>
      <c r="M6" s="7" t="s">
        <v>30</v>
      </c>
    </row>
    <row r="8" spans="1:12" ht="15">
      <c r="A8" s="58" t="s">
        <v>56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58</v>
      </c>
      <c r="B9" s="7" t="s">
        <v>59</v>
      </c>
      <c r="C9" s="7" t="s">
        <v>60</v>
      </c>
      <c r="D9" s="7" t="str">
        <f>"0,6570"</f>
        <v>0,6570</v>
      </c>
      <c r="E9" s="7" t="s">
        <v>36</v>
      </c>
      <c r="F9" s="7" t="s">
        <v>61</v>
      </c>
      <c r="G9" s="8" t="s">
        <v>196</v>
      </c>
      <c r="H9" s="8" t="s">
        <v>41</v>
      </c>
      <c r="I9" s="9" t="s">
        <v>42</v>
      </c>
      <c r="J9" s="9"/>
      <c r="K9" s="7" t="str">
        <f>"125,0"</f>
        <v>125,0</v>
      </c>
      <c r="L9" s="8" t="str">
        <f>"82,9463"</f>
        <v>82,9463</v>
      </c>
      <c r="M9" s="7" t="s">
        <v>30</v>
      </c>
    </row>
    <row r="11" spans="1:12" ht="15">
      <c r="A11" s="58" t="s">
        <v>87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198</v>
      </c>
      <c r="B12" s="7" t="s">
        <v>199</v>
      </c>
      <c r="C12" s="7" t="s">
        <v>200</v>
      </c>
      <c r="D12" s="7" t="str">
        <f>"0,5978"</f>
        <v>0,5978</v>
      </c>
      <c r="E12" s="7" t="s">
        <v>19</v>
      </c>
      <c r="F12" s="7" t="s">
        <v>80</v>
      </c>
      <c r="G12" s="8" t="s">
        <v>196</v>
      </c>
      <c r="H12" s="8" t="s">
        <v>201</v>
      </c>
      <c r="I12" s="8" t="s">
        <v>41</v>
      </c>
      <c r="J12" s="9"/>
      <c r="K12" s="7" t="str">
        <f>"125,0"</f>
        <v>125,0</v>
      </c>
      <c r="L12" s="8" t="str">
        <f>"143,4720"</f>
        <v>143,4720</v>
      </c>
      <c r="M12" s="7" t="s">
        <v>30</v>
      </c>
    </row>
    <row r="14" spans="1:12" ht="15">
      <c r="A14" s="58" t="s">
        <v>133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7" t="s">
        <v>203</v>
      </c>
      <c r="B15" s="7" t="s">
        <v>204</v>
      </c>
      <c r="C15" s="7" t="s">
        <v>205</v>
      </c>
      <c r="D15" s="7" t="str">
        <f>"0,5591"</f>
        <v>0,5591</v>
      </c>
      <c r="E15" s="7" t="s">
        <v>36</v>
      </c>
      <c r="F15" s="7" t="s">
        <v>206</v>
      </c>
      <c r="G15" s="8" t="s">
        <v>154</v>
      </c>
      <c r="H15" s="8" t="s">
        <v>72</v>
      </c>
      <c r="I15" s="8" t="s">
        <v>84</v>
      </c>
      <c r="J15" s="9"/>
      <c r="K15" s="7" t="str">
        <f>"160,0"</f>
        <v>160,0</v>
      </c>
      <c r="L15" s="8" t="str">
        <f>"89,7244"</f>
        <v>89,7244</v>
      </c>
      <c r="M15" s="7" t="s">
        <v>30</v>
      </c>
    </row>
    <row r="17" spans="1:12" ht="15">
      <c r="A17" s="58" t="s">
        <v>155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 ht="12.75">
      <c r="A18" s="7" t="s">
        <v>208</v>
      </c>
      <c r="B18" s="7" t="s">
        <v>209</v>
      </c>
      <c r="C18" s="7" t="s">
        <v>210</v>
      </c>
      <c r="D18" s="7" t="str">
        <f>"0,5381"</f>
        <v>0,5381</v>
      </c>
      <c r="E18" s="7" t="s">
        <v>36</v>
      </c>
      <c r="F18" s="7" t="s">
        <v>61</v>
      </c>
      <c r="G18" s="8" t="s">
        <v>84</v>
      </c>
      <c r="H18" s="8" t="s">
        <v>94</v>
      </c>
      <c r="I18" s="9"/>
      <c r="J18" s="9"/>
      <c r="K18" s="7" t="str">
        <f>"165,0"</f>
        <v>165,0</v>
      </c>
      <c r="L18" s="8" t="str">
        <f>"90,3847"</f>
        <v>90,3847</v>
      </c>
      <c r="M18" s="7" t="s">
        <v>30</v>
      </c>
    </row>
    <row r="20" spans="1:12" ht="15">
      <c r="A20" s="58" t="s">
        <v>162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 ht="12.75">
      <c r="A21" s="11" t="s">
        <v>212</v>
      </c>
      <c r="B21" s="11" t="s">
        <v>213</v>
      </c>
      <c r="C21" s="11" t="s">
        <v>214</v>
      </c>
      <c r="D21" s="11" t="str">
        <f>"0,5296"</f>
        <v>0,5296</v>
      </c>
      <c r="E21" s="11" t="s">
        <v>19</v>
      </c>
      <c r="F21" s="11" t="s">
        <v>215</v>
      </c>
      <c r="G21" s="12" t="s">
        <v>38</v>
      </c>
      <c r="H21" s="13" t="s">
        <v>169</v>
      </c>
      <c r="I21" s="12" t="s">
        <v>169</v>
      </c>
      <c r="J21" s="13"/>
      <c r="K21" s="11" t="str">
        <f>"175,0"</f>
        <v>175,0</v>
      </c>
      <c r="L21" s="12" t="str">
        <f>"92,6800"</f>
        <v>92,6800</v>
      </c>
      <c r="M21" s="11" t="s">
        <v>30</v>
      </c>
    </row>
    <row r="22" spans="1:13" ht="12.75">
      <c r="A22" s="14" t="s">
        <v>217</v>
      </c>
      <c r="B22" s="14" t="s">
        <v>218</v>
      </c>
      <c r="C22" s="14" t="s">
        <v>219</v>
      </c>
      <c r="D22" s="14" t="str">
        <f>"0,5305"</f>
        <v>0,5305</v>
      </c>
      <c r="E22" s="14" t="s">
        <v>92</v>
      </c>
      <c r="F22" s="14" t="s">
        <v>93</v>
      </c>
      <c r="G22" s="16" t="s">
        <v>43</v>
      </c>
      <c r="H22" s="16"/>
      <c r="I22" s="16"/>
      <c r="J22" s="16"/>
      <c r="K22" s="14" t="str">
        <f>"0.00"</f>
        <v>0.00</v>
      </c>
      <c r="L22" s="15" t="str">
        <f>"0,0000"</f>
        <v>0,0000</v>
      </c>
      <c r="M22" s="14" t="s">
        <v>30</v>
      </c>
    </row>
    <row r="24" ht="15">
      <c r="E24" s="20" t="s">
        <v>95</v>
      </c>
    </row>
    <row r="25" ht="15">
      <c r="E25" s="20" t="s">
        <v>96</v>
      </c>
    </row>
    <row r="26" ht="15">
      <c r="E26" s="20" t="s">
        <v>97</v>
      </c>
    </row>
    <row r="27" ht="15">
      <c r="E27" s="20" t="s">
        <v>98</v>
      </c>
    </row>
    <row r="28" ht="15">
      <c r="E28" s="20" t="s">
        <v>98</v>
      </c>
    </row>
    <row r="29" ht="15">
      <c r="E29" s="20" t="s">
        <v>99</v>
      </c>
    </row>
    <row r="30" ht="15">
      <c r="E30" s="20"/>
    </row>
    <row r="32" spans="1:2" ht="18">
      <c r="A32" s="21" t="s">
        <v>100</v>
      </c>
      <c r="B32" s="21"/>
    </row>
    <row r="33" spans="1:2" ht="15">
      <c r="A33" s="22" t="s">
        <v>111</v>
      </c>
      <c r="B33" s="22"/>
    </row>
    <row r="34" spans="1:2" ht="14.25">
      <c r="A34" s="24"/>
      <c r="B34" s="25" t="s">
        <v>112</v>
      </c>
    </row>
    <row r="35" spans="1:5" ht="15">
      <c r="A35" s="26" t="s">
        <v>103</v>
      </c>
      <c r="B35" s="26" t="s">
        <v>104</v>
      </c>
      <c r="C35" s="26" t="s">
        <v>105</v>
      </c>
      <c r="D35" s="26" t="s">
        <v>106</v>
      </c>
      <c r="E35" s="26" t="s">
        <v>107</v>
      </c>
    </row>
    <row r="36" spans="1:5" ht="12.75">
      <c r="A36" s="23" t="s">
        <v>57</v>
      </c>
      <c r="B36" s="4" t="s">
        <v>113</v>
      </c>
      <c r="C36" s="4" t="s">
        <v>114</v>
      </c>
      <c r="D36" s="4" t="s">
        <v>41</v>
      </c>
      <c r="E36" s="27" t="s">
        <v>220</v>
      </c>
    </row>
    <row r="38" spans="1:2" ht="14.25">
      <c r="A38" s="24"/>
      <c r="B38" s="25" t="s">
        <v>102</v>
      </c>
    </row>
    <row r="39" spans="1:5" ht="15">
      <c r="A39" s="26" t="s">
        <v>103</v>
      </c>
      <c r="B39" s="26" t="s">
        <v>104</v>
      </c>
      <c r="C39" s="26" t="s">
        <v>105</v>
      </c>
      <c r="D39" s="26" t="s">
        <v>106</v>
      </c>
      <c r="E39" s="26" t="s">
        <v>107</v>
      </c>
    </row>
    <row r="40" spans="1:5" ht="12.75">
      <c r="A40" s="23" t="s">
        <v>211</v>
      </c>
      <c r="B40" s="4" t="s">
        <v>102</v>
      </c>
      <c r="C40" s="4" t="s">
        <v>178</v>
      </c>
      <c r="D40" s="4" t="s">
        <v>169</v>
      </c>
      <c r="E40" s="27" t="s">
        <v>221</v>
      </c>
    </row>
    <row r="41" spans="1:5" ht="12.75">
      <c r="A41" s="23" t="s">
        <v>189</v>
      </c>
      <c r="B41" s="4" t="s">
        <v>102</v>
      </c>
      <c r="C41" s="4" t="s">
        <v>222</v>
      </c>
      <c r="D41" s="4" t="s">
        <v>195</v>
      </c>
      <c r="E41" s="27" t="s">
        <v>223</v>
      </c>
    </row>
    <row r="43" spans="1:2" ht="14.25">
      <c r="A43" s="24"/>
      <c r="B43" s="25" t="s">
        <v>124</v>
      </c>
    </row>
    <row r="44" spans="1:5" ht="15">
      <c r="A44" s="26" t="s">
        <v>103</v>
      </c>
      <c r="B44" s="26" t="s">
        <v>104</v>
      </c>
      <c r="C44" s="26" t="s">
        <v>105</v>
      </c>
      <c r="D44" s="26" t="s">
        <v>106</v>
      </c>
      <c r="E44" s="26" t="s">
        <v>107</v>
      </c>
    </row>
    <row r="45" spans="1:5" ht="12.75">
      <c r="A45" s="23" t="s">
        <v>197</v>
      </c>
      <c r="B45" s="4" t="s">
        <v>224</v>
      </c>
      <c r="C45" s="4" t="s">
        <v>126</v>
      </c>
      <c r="D45" s="4" t="s">
        <v>41</v>
      </c>
      <c r="E45" s="27" t="s">
        <v>225</v>
      </c>
    </row>
    <row r="46" spans="1:5" ht="12.75">
      <c r="A46" s="23" t="s">
        <v>207</v>
      </c>
      <c r="B46" s="4" t="s">
        <v>184</v>
      </c>
      <c r="C46" s="4" t="s">
        <v>181</v>
      </c>
      <c r="D46" s="4" t="s">
        <v>94</v>
      </c>
      <c r="E46" s="27" t="s">
        <v>226</v>
      </c>
    </row>
    <row r="47" spans="1:5" ht="12.75">
      <c r="A47" s="23" t="s">
        <v>202</v>
      </c>
      <c r="B47" s="4" t="s">
        <v>184</v>
      </c>
      <c r="C47" s="4" t="s">
        <v>175</v>
      </c>
      <c r="D47" s="4" t="s">
        <v>84</v>
      </c>
      <c r="E47" s="27" t="s">
        <v>227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A20:L20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4.875" style="3" bestFit="1" customWidth="1"/>
    <col min="11" max="11" width="5.625" style="3" bestFit="1" customWidth="1"/>
    <col min="12" max="12" width="6.625" style="3" bestFit="1" customWidth="1"/>
    <col min="13" max="13" width="5.625" style="3" bestFit="1" customWidth="1"/>
    <col min="14" max="14" width="4.875" style="3" bestFit="1" customWidth="1"/>
    <col min="15" max="15" width="5.625" style="3" bestFit="1" customWidth="1"/>
    <col min="16" max="16" width="6.625" style="3" bestFit="1" customWidth="1"/>
    <col min="17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59" t="s">
        <v>132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11</v>
      </c>
      <c r="H3" s="69"/>
      <c r="I3" s="69"/>
      <c r="J3" s="69"/>
      <c r="K3" s="69" t="s">
        <v>12</v>
      </c>
      <c r="L3" s="69"/>
      <c r="M3" s="69"/>
      <c r="N3" s="69"/>
      <c r="O3" s="69" t="s">
        <v>13</v>
      </c>
      <c r="P3" s="69"/>
      <c r="Q3" s="69"/>
      <c r="R3" s="69"/>
      <c r="S3" s="69" t="s">
        <v>1</v>
      </c>
      <c r="T3" s="69" t="s">
        <v>3</v>
      </c>
      <c r="U3" s="70" t="s">
        <v>2</v>
      </c>
    </row>
    <row r="4" spans="1:21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8"/>
      <c r="T4" s="68"/>
      <c r="U4" s="71"/>
    </row>
    <row r="5" spans="1:20" ht="15">
      <c r="A5" s="72" t="s">
        <v>133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ht="12.75">
      <c r="A6" s="11" t="s">
        <v>135</v>
      </c>
      <c r="B6" s="11" t="s">
        <v>136</v>
      </c>
      <c r="C6" s="11" t="s">
        <v>137</v>
      </c>
      <c r="D6" s="11" t="str">
        <f>"0,5608"</f>
        <v>0,5608</v>
      </c>
      <c r="E6" s="11" t="s">
        <v>92</v>
      </c>
      <c r="F6" s="11" t="s">
        <v>61</v>
      </c>
      <c r="G6" s="12" t="s">
        <v>138</v>
      </c>
      <c r="H6" s="12" t="s">
        <v>139</v>
      </c>
      <c r="I6" s="12" t="s">
        <v>140</v>
      </c>
      <c r="J6" s="13"/>
      <c r="K6" s="12" t="s">
        <v>82</v>
      </c>
      <c r="L6" s="12" t="s">
        <v>64</v>
      </c>
      <c r="M6" s="13" t="s">
        <v>141</v>
      </c>
      <c r="N6" s="13"/>
      <c r="O6" s="12" t="s">
        <v>142</v>
      </c>
      <c r="P6" s="12" t="s">
        <v>143</v>
      </c>
      <c r="Q6" s="13" t="s">
        <v>144</v>
      </c>
      <c r="R6" s="13"/>
      <c r="S6" s="11" t="str">
        <f>"780,0"</f>
        <v>780,0</v>
      </c>
      <c r="T6" s="12" t="str">
        <f>"437,4240"</f>
        <v>437,4240</v>
      </c>
      <c r="U6" s="11" t="s">
        <v>30</v>
      </c>
    </row>
    <row r="7" spans="1:21" ht="12.75">
      <c r="A7" s="14" t="s">
        <v>146</v>
      </c>
      <c r="B7" s="14" t="s">
        <v>147</v>
      </c>
      <c r="C7" s="14" t="s">
        <v>148</v>
      </c>
      <c r="D7" s="14" t="str">
        <f>"0,5558"</f>
        <v>0,5558</v>
      </c>
      <c r="E7" s="14" t="s">
        <v>149</v>
      </c>
      <c r="F7" s="14" t="s">
        <v>150</v>
      </c>
      <c r="G7" s="15" t="s">
        <v>151</v>
      </c>
      <c r="H7" s="15" t="s">
        <v>152</v>
      </c>
      <c r="I7" s="15" t="s">
        <v>153</v>
      </c>
      <c r="J7" s="16"/>
      <c r="K7" s="15" t="s">
        <v>154</v>
      </c>
      <c r="L7" s="15" t="s">
        <v>84</v>
      </c>
      <c r="M7" s="15" t="s">
        <v>38</v>
      </c>
      <c r="N7" s="16"/>
      <c r="O7" s="15" t="s">
        <v>45</v>
      </c>
      <c r="P7" s="15" t="s">
        <v>139</v>
      </c>
      <c r="Q7" s="15" t="s">
        <v>140</v>
      </c>
      <c r="R7" s="16"/>
      <c r="S7" s="14" t="str">
        <f>"665,0"</f>
        <v>665,0</v>
      </c>
      <c r="T7" s="15" t="str">
        <f>"370,7158"</f>
        <v>370,7158</v>
      </c>
      <c r="U7" s="14" t="s">
        <v>30</v>
      </c>
    </row>
    <row r="9" spans="1:20" ht="15">
      <c r="A9" s="58" t="s">
        <v>155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>
      <c r="A10" s="7" t="s">
        <v>157</v>
      </c>
      <c r="B10" s="7" t="s">
        <v>158</v>
      </c>
      <c r="C10" s="7" t="s">
        <v>159</v>
      </c>
      <c r="D10" s="7" t="str">
        <f>"0,5366"</f>
        <v>0,5366</v>
      </c>
      <c r="E10" s="7" t="s">
        <v>19</v>
      </c>
      <c r="F10" s="7" t="s">
        <v>20</v>
      </c>
      <c r="G10" s="8" t="s">
        <v>64</v>
      </c>
      <c r="H10" s="8" t="s">
        <v>160</v>
      </c>
      <c r="I10" s="9" t="s">
        <v>153</v>
      </c>
      <c r="J10" s="9"/>
      <c r="K10" s="8" t="s">
        <v>161</v>
      </c>
      <c r="L10" s="9" t="s">
        <v>84</v>
      </c>
      <c r="M10" s="9" t="s">
        <v>84</v>
      </c>
      <c r="N10" s="9"/>
      <c r="O10" s="8" t="s">
        <v>139</v>
      </c>
      <c r="P10" s="8" t="s">
        <v>140</v>
      </c>
      <c r="Q10" s="9"/>
      <c r="R10" s="9"/>
      <c r="S10" s="7" t="str">
        <f>"645,0"</f>
        <v>645,0</v>
      </c>
      <c r="T10" s="8" t="str">
        <f>"346,1070"</f>
        <v>346,1070</v>
      </c>
      <c r="U10" s="7" t="s">
        <v>30</v>
      </c>
    </row>
    <row r="12" spans="1:20" ht="15">
      <c r="A12" s="58" t="s">
        <v>162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1" ht="12.75">
      <c r="A13" s="7" t="s">
        <v>164</v>
      </c>
      <c r="B13" s="7" t="s">
        <v>165</v>
      </c>
      <c r="C13" s="7" t="s">
        <v>166</v>
      </c>
      <c r="D13" s="7" t="str">
        <f>"0,5280"</f>
        <v>0,5280</v>
      </c>
      <c r="E13" s="7" t="s">
        <v>51</v>
      </c>
      <c r="F13" s="7" t="s">
        <v>93</v>
      </c>
      <c r="G13" s="8" t="s">
        <v>138</v>
      </c>
      <c r="H13" s="9" t="s">
        <v>167</v>
      </c>
      <c r="I13" s="9" t="s">
        <v>168</v>
      </c>
      <c r="J13" s="9"/>
      <c r="K13" s="8" t="s">
        <v>169</v>
      </c>
      <c r="L13" s="8" t="s">
        <v>170</v>
      </c>
      <c r="M13" s="9" t="s">
        <v>171</v>
      </c>
      <c r="N13" s="9"/>
      <c r="O13" s="8" t="s">
        <v>172</v>
      </c>
      <c r="P13" s="8" t="s">
        <v>173</v>
      </c>
      <c r="Q13" s="9" t="s">
        <v>174</v>
      </c>
      <c r="R13" s="9"/>
      <c r="S13" s="7" t="str">
        <f>"715.00o"</f>
        <v>715.00o</v>
      </c>
      <c r="T13" s="8" t="str">
        <f>"377,5200"</f>
        <v>377,5200</v>
      </c>
      <c r="U13" s="7" t="s">
        <v>30</v>
      </c>
    </row>
    <row r="15" ht="15">
      <c r="E15" s="20" t="s">
        <v>95</v>
      </c>
    </row>
    <row r="16" ht="15">
      <c r="E16" s="20" t="s">
        <v>96</v>
      </c>
    </row>
    <row r="17" ht="15">
      <c r="E17" s="20" t="s">
        <v>97</v>
      </c>
    </row>
    <row r="18" ht="15">
      <c r="E18" s="20" t="s">
        <v>98</v>
      </c>
    </row>
    <row r="19" ht="15">
      <c r="E19" s="20" t="s">
        <v>98</v>
      </c>
    </row>
    <row r="20" ht="15">
      <c r="E20" s="20" t="s">
        <v>99</v>
      </c>
    </row>
    <row r="21" ht="15">
      <c r="E21" s="20"/>
    </row>
    <row r="23" spans="1:2" ht="18">
      <c r="A23" s="21" t="s">
        <v>100</v>
      </c>
      <c r="B23" s="21"/>
    </row>
    <row r="24" spans="1:2" ht="15">
      <c r="A24" s="22" t="s">
        <v>111</v>
      </c>
      <c r="B24" s="22"/>
    </row>
    <row r="25" spans="1:2" ht="14.25">
      <c r="A25" s="24"/>
      <c r="B25" s="25" t="s">
        <v>102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107</v>
      </c>
    </row>
    <row r="27" spans="1:5" ht="12.75">
      <c r="A27" s="23" t="s">
        <v>134</v>
      </c>
      <c r="B27" s="4" t="s">
        <v>102</v>
      </c>
      <c r="C27" s="4" t="s">
        <v>175</v>
      </c>
      <c r="D27" s="4" t="s">
        <v>176</v>
      </c>
      <c r="E27" s="27" t="s">
        <v>177</v>
      </c>
    </row>
    <row r="28" spans="1:5" ht="12.75">
      <c r="A28" s="23" t="s">
        <v>163</v>
      </c>
      <c r="B28" s="4" t="s">
        <v>102</v>
      </c>
      <c r="C28" s="4" t="s">
        <v>178</v>
      </c>
      <c r="D28" s="4" t="s">
        <v>179</v>
      </c>
      <c r="E28" s="27" t="s">
        <v>180</v>
      </c>
    </row>
    <row r="29" spans="1:5" ht="12.75">
      <c r="A29" s="23" t="s">
        <v>156</v>
      </c>
      <c r="B29" s="4" t="s">
        <v>102</v>
      </c>
      <c r="C29" s="4" t="s">
        <v>181</v>
      </c>
      <c r="D29" s="4" t="s">
        <v>182</v>
      </c>
      <c r="E29" s="27" t="s">
        <v>183</v>
      </c>
    </row>
    <row r="31" spans="1:2" ht="14.25">
      <c r="A31" s="24"/>
      <c r="B31" s="25" t="s">
        <v>124</v>
      </c>
    </row>
    <row r="32" spans="1:5" ht="15">
      <c r="A32" s="26" t="s">
        <v>103</v>
      </c>
      <c r="B32" s="26" t="s">
        <v>104</v>
      </c>
      <c r="C32" s="26" t="s">
        <v>105</v>
      </c>
      <c r="D32" s="26" t="s">
        <v>106</v>
      </c>
      <c r="E32" s="26" t="s">
        <v>107</v>
      </c>
    </row>
    <row r="33" spans="1:5" ht="12.75">
      <c r="A33" s="23" t="s">
        <v>145</v>
      </c>
      <c r="B33" s="4" t="s">
        <v>184</v>
      </c>
      <c r="C33" s="4" t="s">
        <v>175</v>
      </c>
      <c r="D33" s="4" t="s">
        <v>185</v>
      </c>
      <c r="E33" s="27" t="s">
        <v>186</v>
      </c>
    </row>
  </sheetData>
  <sheetProtection/>
  <mergeCells count="16"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00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2" width="6.625" style="3" bestFit="1" customWidth="1"/>
    <col min="13" max="13" width="5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59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11</v>
      </c>
      <c r="H3" s="69"/>
      <c r="I3" s="69"/>
      <c r="J3" s="69"/>
      <c r="K3" s="69" t="s">
        <v>12</v>
      </c>
      <c r="L3" s="69"/>
      <c r="M3" s="69"/>
      <c r="N3" s="69"/>
      <c r="O3" s="69" t="s">
        <v>13</v>
      </c>
      <c r="P3" s="69"/>
      <c r="Q3" s="69"/>
      <c r="R3" s="69"/>
      <c r="S3" s="69" t="s">
        <v>1</v>
      </c>
      <c r="T3" s="69" t="s">
        <v>3</v>
      </c>
      <c r="U3" s="70" t="s">
        <v>2</v>
      </c>
    </row>
    <row r="4" spans="1:21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8"/>
      <c r="T4" s="68"/>
      <c r="U4" s="71"/>
    </row>
    <row r="5" spans="1:20" ht="1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ht="12.75">
      <c r="A6" s="7" t="s">
        <v>16</v>
      </c>
      <c r="B6" s="7" t="s">
        <v>17</v>
      </c>
      <c r="C6" s="7" t="s">
        <v>18</v>
      </c>
      <c r="D6" s="7" t="str">
        <f>"0,8794"</f>
        <v>0,8794</v>
      </c>
      <c r="E6" s="7" t="s">
        <v>19</v>
      </c>
      <c r="F6" s="7" t="s">
        <v>20</v>
      </c>
      <c r="G6" s="8" t="s">
        <v>21</v>
      </c>
      <c r="H6" s="8" t="s">
        <v>22</v>
      </c>
      <c r="I6" s="8" t="s">
        <v>23</v>
      </c>
      <c r="J6" s="9"/>
      <c r="K6" s="8" t="s">
        <v>24</v>
      </c>
      <c r="L6" s="8" t="s">
        <v>25</v>
      </c>
      <c r="M6" s="9" t="s">
        <v>26</v>
      </c>
      <c r="N6" s="9"/>
      <c r="O6" s="8" t="s">
        <v>27</v>
      </c>
      <c r="P6" s="8" t="s">
        <v>28</v>
      </c>
      <c r="Q6" s="8" t="s">
        <v>29</v>
      </c>
      <c r="R6" s="9"/>
      <c r="S6" s="7" t="str">
        <f>"280,0"</f>
        <v>280,0</v>
      </c>
      <c r="T6" s="8" t="str">
        <f>"246,2320"</f>
        <v>246,2320</v>
      </c>
      <c r="U6" s="7" t="s">
        <v>30</v>
      </c>
    </row>
    <row r="8" spans="1:20" ht="15">
      <c r="A8" s="58" t="s">
        <v>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1" ht="12.75">
      <c r="A9" s="11" t="s">
        <v>33</v>
      </c>
      <c r="B9" s="11" t="s">
        <v>34</v>
      </c>
      <c r="C9" s="11" t="s">
        <v>35</v>
      </c>
      <c r="D9" s="11" t="str">
        <f>"0,7297"</f>
        <v>0,7297</v>
      </c>
      <c r="E9" s="11" t="s">
        <v>36</v>
      </c>
      <c r="F9" s="11" t="s">
        <v>37</v>
      </c>
      <c r="G9" s="12" t="s">
        <v>38</v>
      </c>
      <c r="H9" s="12" t="s">
        <v>39</v>
      </c>
      <c r="I9" s="12" t="s">
        <v>40</v>
      </c>
      <c r="J9" s="13"/>
      <c r="K9" s="12" t="s">
        <v>41</v>
      </c>
      <c r="L9" s="12" t="s">
        <v>42</v>
      </c>
      <c r="M9" s="12" t="s">
        <v>43</v>
      </c>
      <c r="N9" s="13"/>
      <c r="O9" s="13" t="s">
        <v>44</v>
      </c>
      <c r="P9" s="12" t="s">
        <v>44</v>
      </c>
      <c r="Q9" s="12" t="s">
        <v>45</v>
      </c>
      <c r="R9" s="12" t="s">
        <v>46</v>
      </c>
      <c r="S9" s="11" t="str">
        <f>"570,0"</f>
        <v>570,0</v>
      </c>
      <c r="T9" s="12" t="str">
        <f>"415,9290"</f>
        <v>415,9290</v>
      </c>
      <c r="U9" s="11" t="s">
        <v>30</v>
      </c>
    </row>
    <row r="10" spans="1:21" ht="12.75">
      <c r="A10" s="14" t="s">
        <v>48</v>
      </c>
      <c r="B10" s="14" t="s">
        <v>49</v>
      </c>
      <c r="C10" s="14" t="s">
        <v>50</v>
      </c>
      <c r="D10" s="14" t="str">
        <f>"0,7398"</f>
        <v>0,7398</v>
      </c>
      <c r="E10" s="14" t="s">
        <v>51</v>
      </c>
      <c r="F10" s="14" t="s">
        <v>52</v>
      </c>
      <c r="G10" s="15" t="s">
        <v>53</v>
      </c>
      <c r="H10" s="16"/>
      <c r="I10" s="16"/>
      <c r="J10" s="16"/>
      <c r="K10" s="15" t="s">
        <v>54</v>
      </c>
      <c r="L10" s="16"/>
      <c r="M10" s="16"/>
      <c r="N10" s="16"/>
      <c r="O10" s="15" t="s">
        <v>55</v>
      </c>
      <c r="P10" s="16"/>
      <c r="Q10" s="16"/>
      <c r="R10" s="16"/>
      <c r="S10" s="14" t="str">
        <f>"302.50o"</f>
        <v>302.50o</v>
      </c>
      <c r="T10" s="15" t="str">
        <f>"223,7895"</f>
        <v>223,7895</v>
      </c>
      <c r="U10" s="14" t="s">
        <v>30</v>
      </c>
    </row>
    <row r="12" spans="1:20" ht="15">
      <c r="A12" s="58" t="s">
        <v>56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1" ht="12.75">
      <c r="A13" s="11" t="s">
        <v>58</v>
      </c>
      <c r="B13" s="11" t="s">
        <v>59</v>
      </c>
      <c r="C13" s="11" t="s">
        <v>60</v>
      </c>
      <c r="D13" s="11" t="str">
        <f>"0,6570"</f>
        <v>0,6570</v>
      </c>
      <c r="E13" s="11" t="s">
        <v>36</v>
      </c>
      <c r="F13" s="11" t="s">
        <v>61</v>
      </c>
      <c r="G13" s="12" t="s">
        <v>38</v>
      </c>
      <c r="H13" s="12" t="s">
        <v>39</v>
      </c>
      <c r="I13" s="12" t="s">
        <v>40</v>
      </c>
      <c r="J13" s="13"/>
      <c r="K13" s="12" t="s">
        <v>29</v>
      </c>
      <c r="L13" s="12" t="s">
        <v>62</v>
      </c>
      <c r="M13" s="12" t="s">
        <v>42</v>
      </c>
      <c r="N13" s="13"/>
      <c r="O13" s="12" t="s">
        <v>63</v>
      </c>
      <c r="P13" s="12" t="s">
        <v>64</v>
      </c>
      <c r="Q13" s="13"/>
      <c r="R13" s="13"/>
      <c r="S13" s="11" t="str">
        <f>"530,0"</f>
        <v>530,0</v>
      </c>
      <c r="T13" s="12" t="str">
        <f>"351,6921"</f>
        <v>351,6921</v>
      </c>
      <c r="U13" s="11" t="s">
        <v>30</v>
      </c>
    </row>
    <row r="14" spans="1:21" ht="12.75">
      <c r="A14" s="17" t="s">
        <v>66</v>
      </c>
      <c r="B14" s="17" t="s">
        <v>67</v>
      </c>
      <c r="C14" s="17" t="s">
        <v>68</v>
      </c>
      <c r="D14" s="17" t="str">
        <f>"0,6329"</f>
        <v>0,6329</v>
      </c>
      <c r="E14" s="17" t="s">
        <v>51</v>
      </c>
      <c r="F14" s="17" t="s">
        <v>69</v>
      </c>
      <c r="G14" s="18" t="s">
        <v>70</v>
      </c>
      <c r="H14" s="18" t="s">
        <v>71</v>
      </c>
      <c r="I14" s="19" t="s">
        <v>72</v>
      </c>
      <c r="J14" s="19"/>
      <c r="K14" s="18" t="s">
        <v>70</v>
      </c>
      <c r="L14" s="19" t="s">
        <v>73</v>
      </c>
      <c r="M14" s="19" t="s">
        <v>43</v>
      </c>
      <c r="N14" s="19"/>
      <c r="O14" s="18" t="s">
        <v>74</v>
      </c>
      <c r="P14" s="18" t="s">
        <v>55</v>
      </c>
      <c r="Q14" s="18" t="s">
        <v>75</v>
      </c>
      <c r="R14" s="19"/>
      <c r="S14" s="17" t="str">
        <f>"435.00o"</f>
        <v>435.00o</v>
      </c>
      <c r="T14" s="18" t="str">
        <f>"283,5708"</f>
        <v>283,5708</v>
      </c>
      <c r="U14" s="17" t="s">
        <v>30</v>
      </c>
    </row>
    <row r="15" spans="1:21" ht="12.75">
      <c r="A15" s="14" t="s">
        <v>77</v>
      </c>
      <c r="B15" s="14" t="s">
        <v>78</v>
      </c>
      <c r="C15" s="14" t="s">
        <v>79</v>
      </c>
      <c r="D15" s="14" t="str">
        <f>"0,6352"</f>
        <v>0,6352</v>
      </c>
      <c r="E15" s="14" t="s">
        <v>51</v>
      </c>
      <c r="F15" s="14" t="s">
        <v>80</v>
      </c>
      <c r="G15" s="15" t="s">
        <v>39</v>
      </c>
      <c r="H15" s="15" t="s">
        <v>81</v>
      </c>
      <c r="I15" s="16" t="s">
        <v>82</v>
      </c>
      <c r="J15" s="16"/>
      <c r="K15" s="16" t="s">
        <v>72</v>
      </c>
      <c r="L15" s="15" t="s">
        <v>83</v>
      </c>
      <c r="M15" s="16" t="s">
        <v>84</v>
      </c>
      <c r="N15" s="16"/>
      <c r="O15" s="15" t="s">
        <v>63</v>
      </c>
      <c r="P15" s="15" t="s">
        <v>85</v>
      </c>
      <c r="Q15" s="16" t="s">
        <v>86</v>
      </c>
      <c r="R15" s="16"/>
      <c r="S15" s="14" t="str">
        <f>"555.00o"</f>
        <v>555.00o</v>
      </c>
      <c r="T15" s="15" t="str">
        <f>"352,5360"</f>
        <v>352,5360</v>
      </c>
      <c r="U15" s="14" t="s">
        <v>30</v>
      </c>
    </row>
    <row r="17" spans="1:20" ht="15">
      <c r="A17" s="58" t="s">
        <v>87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1" ht="12.75">
      <c r="A18" s="7" t="s">
        <v>89</v>
      </c>
      <c r="B18" s="7" t="s">
        <v>90</v>
      </c>
      <c r="C18" s="7" t="s">
        <v>91</v>
      </c>
      <c r="D18" s="7" t="str">
        <f>"0,5881"</f>
        <v>0,5881</v>
      </c>
      <c r="E18" s="7" t="s">
        <v>92</v>
      </c>
      <c r="F18" s="7" t="s">
        <v>93</v>
      </c>
      <c r="G18" s="8" t="s">
        <v>72</v>
      </c>
      <c r="H18" s="8" t="s">
        <v>84</v>
      </c>
      <c r="I18" s="8" t="s">
        <v>94</v>
      </c>
      <c r="J18" s="9"/>
      <c r="K18" s="8" t="s">
        <v>29</v>
      </c>
      <c r="L18" s="9" t="s">
        <v>62</v>
      </c>
      <c r="M18" s="9" t="s">
        <v>62</v>
      </c>
      <c r="N18" s="9"/>
      <c r="O18" s="9" t="s">
        <v>63</v>
      </c>
      <c r="P18" s="8" t="s">
        <v>63</v>
      </c>
      <c r="Q18" s="8" t="s">
        <v>64</v>
      </c>
      <c r="R18" s="9"/>
      <c r="S18" s="7" t="str">
        <f>"495,0"</f>
        <v>495,0</v>
      </c>
      <c r="T18" s="8" t="str">
        <f>"333,0293"</f>
        <v>333,0293</v>
      </c>
      <c r="U18" s="7" t="s">
        <v>30</v>
      </c>
    </row>
    <row r="20" ht="15">
      <c r="E20" s="20" t="s">
        <v>95</v>
      </c>
    </row>
    <row r="21" ht="15">
      <c r="E21" s="20" t="s">
        <v>96</v>
      </c>
    </row>
    <row r="22" ht="15">
      <c r="E22" s="20" t="s">
        <v>97</v>
      </c>
    </row>
    <row r="23" ht="15">
      <c r="E23" s="20" t="s">
        <v>98</v>
      </c>
    </row>
    <row r="24" ht="15">
      <c r="E24" s="20" t="s">
        <v>98</v>
      </c>
    </row>
    <row r="25" ht="15">
      <c r="E25" s="20" t="s">
        <v>99</v>
      </c>
    </row>
    <row r="26" ht="15">
      <c r="E26" s="20"/>
    </row>
    <row r="28" spans="1:2" ht="18">
      <c r="A28" s="21" t="s">
        <v>100</v>
      </c>
      <c r="B28" s="21"/>
    </row>
    <row r="29" spans="1:2" ht="15">
      <c r="A29" s="22" t="s">
        <v>101</v>
      </c>
      <c r="B29" s="22"/>
    </row>
    <row r="30" spans="1:2" ht="14.25">
      <c r="A30" s="24"/>
      <c r="B30" s="25" t="s">
        <v>102</v>
      </c>
    </row>
    <row r="31" spans="1:5" ht="15">
      <c r="A31" s="26" t="s">
        <v>103</v>
      </c>
      <c r="B31" s="26" t="s">
        <v>104</v>
      </c>
      <c r="C31" s="26" t="s">
        <v>105</v>
      </c>
      <c r="D31" s="26" t="s">
        <v>106</v>
      </c>
      <c r="E31" s="26" t="s">
        <v>107</v>
      </c>
    </row>
    <row r="32" spans="1:5" ht="12.75">
      <c r="A32" s="23" t="s">
        <v>15</v>
      </c>
      <c r="B32" s="4" t="s">
        <v>102</v>
      </c>
      <c r="C32" s="4" t="s">
        <v>108</v>
      </c>
      <c r="D32" s="4" t="s">
        <v>109</v>
      </c>
      <c r="E32" s="27" t="s">
        <v>110</v>
      </c>
    </row>
    <row r="35" spans="1:2" ht="15">
      <c r="A35" s="22" t="s">
        <v>111</v>
      </c>
      <c r="B35" s="22"/>
    </row>
    <row r="36" spans="1:2" ht="14.25">
      <c r="A36" s="24"/>
      <c r="B36" s="25" t="s">
        <v>112</v>
      </c>
    </row>
    <row r="37" spans="1:5" ht="15">
      <c r="A37" s="26" t="s">
        <v>103</v>
      </c>
      <c r="B37" s="26" t="s">
        <v>104</v>
      </c>
      <c r="C37" s="26" t="s">
        <v>105</v>
      </c>
      <c r="D37" s="26" t="s">
        <v>106</v>
      </c>
      <c r="E37" s="26" t="s">
        <v>107</v>
      </c>
    </row>
    <row r="38" spans="1:5" ht="12.75">
      <c r="A38" s="23" t="s">
        <v>57</v>
      </c>
      <c r="B38" s="4" t="s">
        <v>113</v>
      </c>
      <c r="C38" s="4" t="s">
        <v>114</v>
      </c>
      <c r="D38" s="4" t="s">
        <v>115</v>
      </c>
      <c r="E38" s="27" t="s">
        <v>116</v>
      </c>
    </row>
    <row r="39" spans="1:5" ht="12.75">
      <c r="A39" s="23" t="s">
        <v>65</v>
      </c>
      <c r="B39" s="4" t="s">
        <v>113</v>
      </c>
      <c r="C39" s="4" t="s">
        <v>114</v>
      </c>
      <c r="D39" s="4" t="s">
        <v>117</v>
      </c>
      <c r="E39" s="27" t="s">
        <v>118</v>
      </c>
    </row>
    <row r="41" spans="1:2" ht="14.25">
      <c r="A41" s="24"/>
      <c r="B41" s="25" t="s">
        <v>102</v>
      </c>
    </row>
    <row r="42" spans="1:5" ht="15">
      <c r="A42" s="26" t="s">
        <v>103</v>
      </c>
      <c r="B42" s="26" t="s">
        <v>104</v>
      </c>
      <c r="C42" s="26" t="s">
        <v>105</v>
      </c>
      <c r="D42" s="26" t="s">
        <v>106</v>
      </c>
      <c r="E42" s="26" t="s">
        <v>107</v>
      </c>
    </row>
    <row r="43" spans="1:5" ht="12.75">
      <c r="A43" s="23" t="s">
        <v>32</v>
      </c>
      <c r="B43" s="4" t="s">
        <v>102</v>
      </c>
      <c r="C43" s="4" t="s">
        <v>119</v>
      </c>
      <c r="D43" s="4" t="s">
        <v>120</v>
      </c>
      <c r="E43" s="27" t="s">
        <v>121</v>
      </c>
    </row>
    <row r="44" spans="1:5" ht="12.75">
      <c r="A44" s="23" t="s">
        <v>76</v>
      </c>
      <c r="B44" s="4" t="s">
        <v>102</v>
      </c>
      <c r="C44" s="4" t="s">
        <v>114</v>
      </c>
      <c r="D44" s="4" t="s">
        <v>122</v>
      </c>
      <c r="E44" s="27" t="s">
        <v>123</v>
      </c>
    </row>
    <row r="46" spans="1:2" ht="14.25">
      <c r="A46" s="24"/>
      <c r="B46" s="25" t="s">
        <v>124</v>
      </c>
    </row>
    <row r="47" spans="1:5" ht="15">
      <c r="A47" s="26" t="s">
        <v>103</v>
      </c>
      <c r="B47" s="26" t="s">
        <v>104</v>
      </c>
      <c r="C47" s="26" t="s">
        <v>105</v>
      </c>
      <c r="D47" s="26" t="s">
        <v>106</v>
      </c>
      <c r="E47" s="26" t="s">
        <v>107</v>
      </c>
    </row>
    <row r="48" spans="1:5" ht="12.75">
      <c r="A48" s="23" t="s">
        <v>88</v>
      </c>
      <c r="B48" s="4" t="s">
        <v>125</v>
      </c>
      <c r="C48" s="4" t="s">
        <v>126</v>
      </c>
      <c r="D48" s="4" t="s">
        <v>127</v>
      </c>
      <c r="E48" s="27" t="s">
        <v>128</v>
      </c>
    </row>
    <row r="49" spans="1:5" ht="12.75">
      <c r="A49" s="23" t="s">
        <v>47</v>
      </c>
      <c r="B49" s="4" t="s">
        <v>129</v>
      </c>
      <c r="C49" s="4" t="s">
        <v>119</v>
      </c>
      <c r="D49" s="4" t="s">
        <v>130</v>
      </c>
      <c r="E49" s="27" t="s">
        <v>131</v>
      </c>
    </row>
  </sheetData>
  <sheetProtection/>
  <mergeCells count="17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2:T12"/>
    <mergeCell ref="A17:T17"/>
    <mergeCell ref="D3:D4"/>
    <mergeCell ref="S3:S4"/>
    <mergeCell ref="T3:T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8.25390625" style="27" bestFit="1" customWidth="1"/>
    <col min="2" max="2" width="28.625" style="28" bestFit="1" customWidth="1"/>
    <col min="3" max="3" width="10.625" style="28" bestFit="1" customWidth="1"/>
    <col min="4" max="4" width="9.25390625" style="28" bestFit="1" customWidth="1"/>
    <col min="5" max="5" width="22.75390625" style="29" bestFit="1" customWidth="1"/>
    <col min="6" max="6" width="30.25390625" style="29" bestFit="1" customWidth="1"/>
    <col min="7" max="8" width="5.625" style="28" bestFit="1" customWidth="1"/>
    <col min="9" max="10" width="4.625" style="28" bestFit="1" customWidth="1"/>
    <col min="11" max="11" width="7.875" style="27" bestFit="1" customWidth="1"/>
    <col min="12" max="12" width="7.625" style="28" bestFit="1" customWidth="1"/>
    <col min="13" max="13" width="8.875" style="29" bestFit="1" customWidth="1"/>
    <col min="14" max="16384" width="9.125" style="28" customWidth="1"/>
  </cols>
  <sheetData>
    <row r="1" spans="1:13" ht="28.5" customHeight="1">
      <c r="A1" s="73" t="s">
        <v>589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65" t="s">
        <v>0</v>
      </c>
      <c r="B3" s="67" t="s">
        <v>6</v>
      </c>
      <c r="C3" s="67" t="s">
        <v>561</v>
      </c>
      <c r="D3" s="69" t="s">
        <v>10</v>
      </c>
      <c r="E3" s="69" t="s">
        <v>4</v>
      </c>
      <c r="F3" s="69" t="s">
        <v>8</v>
      </c>
      <c r="G3" s="69" t="s">
        <v>559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39">
        <v>1</v>
      </c>
      <c r="H4" s="39">
        <v>2</v>
      </c>
      <c r="I4" s="39">
        <v>3</v>
      </c>
      <c r="J4" s="39" t="s">
        <v>5</v>
      </c>
      <c r="K4" s="68"/>
      <c r="L4" s="68"/>
      <c r="M4" s="71"/>
    </row>
    <row r="5" spans="1:12" ht="15">
      <c r="A5" s="72" t="s">
        <v>188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45" t="s">
        <v>516</v>
      </c>
      <c r="B6" s="44" t="s">
        <v>517</v>
      </c>
      <c r="C6" s="44" t="s">
        <v>518</v>
      </c>
      <c r="D6" s="44" t="str">
        <f>"0,6805"</f>
        <v>0,6805</v>
      </c>
      <c r="E6" s="43" t="s">
        <v>51</v>
      </c>
      <c r="F6" s="43" t="s">
        <v>519</v>
      </c>
      <c r="G6" s="44" t="s">
        <v>588</v>
      </c>
      <c r="H6" s="44" t="s">
        <v>587</v>
      </c>
      <c r="I6" s="13" t="s">
        <v>26</v>
      </c>
      <c r="J6" s="13"/>
      <c r="K6" s="45" t="str">
        <f>"57,5"</f>
        <v>57,5</v>
      </c>
      <c r="L6" s="44" t="str">
        <f>"39,1287"</f>
        <v>39,1287</v>
      </c>
      <c r="M6" s="43" t="s">
        <v>30</v>
      </c>
    </row>
    <row r="7" spans="1:13" ht="12.75">
      <c r="A7" s="48" t="s">
        <v>586</v>
      </c>
      <c r="B7" s="47" t="s">
        <v>191</v>
      </c>
      <c r="C7" s="47" t="s">
        <v>192</v>
      </c>
      <c r="D7" s="47" t="str">
        <f>"0,6789"</f>
        <v>0,6789</v>
      </c>
      <c r="E7" s="46" t="s">
        <v>19</v>
      </c>
      <c r="F7" s="46" t="s">
        <v>193</v>
      </c>
      <c r="G7" s="47" t="s">
        <v>258</v>
      </c>
      <c r="H7" s="19" t="s">
        <v>259</v>
      </c>
      <c r="I7" s="47" t="s">
        <v>259</v>
      </c>
      <c r="J7" s="19"/>
      <c r="K7" s="48" t="str">
        <f>"57,5"</f>
        <v>57,5</v>
      </c>
      <c r="L7" s="47" t="str">
        <f>"39,0368"</f>
        <v>39,0368</v>
      </c>
      <c r="M7" s="46" t="s">
        <v>30</v>
      </c>
    </row>
    <row r="8" spans="1:13" ht="12.75">
      <c r="A8" s="42" t="s">
        <v>585</v>
      </c>
      <c r="B8" s="41" t="s">
        <v>584</v>
      </c>
      <c r="C8" s="41" t="s">
        <v>583</v>
      </c>
      <c r="D8" s="41" t="str">
        <f>"0,6673"</f>
        <v>0,6673</v>
      </c>
      <c r="E8" s="40" t="s">
        <v>582</v>
      </c>
      <c r="F8" s="40" t="s">
        <v>93</v>
      </c>
      <c r="G8" s="41" t="s">
        <v>258</v>
      </c>
      <c r="H8" s="41" t="s">
        <v>259</v>
      </c>
      <c r="I8" s="16" t="s">
        <v>577</v>
      </c>
      <c r="J8" s="16"/>
      <c r="K8" s="42" t="str">
        <f>"57,5"</f>
        <v>57,5</v>
      </c>
      <c r="L8" s="41" t="str">
        <f>"38,7151"</f>
        <v>38,7151</v>
      </c>
      <c r="M8" s="40" t="s">
        <v>30</v>
      </c>
    </row>
    <row r="10" spans="1:12" ht="15">
      <c r="A10" s="58" t="s">
        <v>56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2.75">
      <c r="A11" s="45" t="s">
        <v>523</v>
      </c>
      <c r="B11" s="44" t="s">
        <v>524</v>
      </c>
      <c r="C11" s="44" t="s">
        <v>525</v>
      </c>
      <c r="D11" s="44" t="str">
        <f>"0,6273"</f>
        <v>0,6273</v>
      </c>
      <c r="E11" s="43" t="s">
        <v>19</v>
      </c>
      <c r="F11" s="43" t="s">
        <v>526</v>
      </c>
      <c r="G11" s="44" t="s">
        <v>581</v>
      </c>
      <c r="H11" s="44" t="s">
        <v>24</v>
      </c>
      <c r="I11" s="44" t="s">
        <v>46</v>
      </c>
      <c r="J11" s="13"/>
      <c r="K11" s="45" t="str">
        <f>"55,0"</f>
        <v>55,0</v>
      </c>
      <c r="L11" s="44" t="str">
        <f>"34,5015"</f>
        <v>34,5015</v>
      </c>
      <c r="M11" s="43" t="s">
        <v>30</v>
      </c>
    </row>
    <row r="12" spans="1:13" ht="12.75">
      <c r="A12" s="42" t="s">
        <v>580</v>
      </c>
      <c r="B12" s="41" t="s">
        <v>579</v>
      </c>
      <c r="C12" s="41" t="s">
        <v>578</v>
      </c>
      <c r="D12" s="41" t="str">
        <f>"0,6318"</f>
        <v>0,6318</v>
      </c>
      <c r="E12" s="40" t="s">
        <v>51</v>
      </c>
      <c r="F12" s="40" t="s">
        <v>445</v>
      </c>
      <c r="G12" s="41" t="s">
        <v>259</v>
      </c>
      <c r="H12" s="41" t="s">
        <v>26</v>
      </c>
      <c r="I12" s="16" t="s">
        <v>577</v>
      </c>
      <c r="J12" s="16"/>
      <c r="K12" s="42" t="str">
        <f>"62,5"</f>
        <v>62,5</v>
      </c>
      <c r="L12" s="41" t="str">
        <f>"39,6060"</f>
        <v>39,6060</v>
      </c>
      <c r="M12" s="40" t="s">
        <v>30</v>
      </c>
    </row>
    <row r="14" spans="1:12" ht="15">
      <c r="A14" s="58" t="s">
        <v>87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38" t="s">
        <v>576</v>
      </c>
      <c r="B15" s="37" t="s">
        <v>575</v>
      </c>
      <c r="C15" s="37" t="s">
        <v>574</v>
      </c>
      <c r="D15" s="37" t="str">
        <f>"0,5869"</f>
        <v>0,5869</v>
      </c>
      <c r="E15" s="36" t="s">
        <v>51</v>
      </c>
      <c r="F15" s="36" t="s">
        <v>573</v>
      </c>
      <c r="G15" s="37" t="s">
        <v>258</v>
      </c>
      <c r="H15" s="37" t="s">
        <v>26</v>
      </c>
      <c r="I15" s="9" t="s">
        <v>572</v>
      </c>
      <c r="J15" s="9"/>
      <c r="K15" s="38" t="str">
        <f>"62,5"</f>
        <v>62,5</v>
      </c>
      <c r="L15" s="37" t="str">
        <f>"36,6812"</f>
        <v>36,6812</v>
      </c>
      <c r="M15" s="36" t="s">
        <v>30</v>
      </c>
    </row>
    <row r="17" ht="15">
      <c r="E17" s="20" t="s">
        <v>95</v>
      </c>
    </row>
    <row r="18" ht="15">
      <c r="E18" s="20" t="s">
        <v>96</v>
      </c>
    </row>
    <row r="19" ht="15">
      <c r="E19" s="20" t="s">
        <v>97</v>
      </c>
    </row>
    <row r="20" ht="15">
      <c r="E20" s="20" t="s">
        <v>98</v>
      </c>
    </row>
    <row r="21" ht="15">
      <c r="E21" s="20" t="s">
        <v>98</v>
      </c>
    </row>
    <row r="22" ht="15">
      <c r="E22" s="20" t="s">
        <v>99</v>
      </c>
    </row>
    <row r="23" ht="15">
      <c r="E23" s="20"/>
    </row>
    <row r="25" spans="1:2" ht="18">
      <c r="A25" s="35" t="s">
        <v>100</v>
      </c>
      <c r="B25" s="34"/>
    </row>
    <row r="26" spans="1:2" ht="15">
      <c r="A26" s="33" t="s">
        <v>111</v>
      </c>
      <c r="B26" s="10"/>
    </row>
    <row r="27" spans="1:2" ht="14.25">
      <c r="A27" s="32"/>
      <c r="B27" s="31" t="s">
        <v>102</v>
      </c>
    </row>
    <row r="28" spans="1:5" ht="15">
      <c r="A28" s="26" t="s">
        <v>103</v>
      </c>
      <c r="B28" s="26" t="s">
        <v>104</v>
      </c>
      <c r="C28" s="26" t="s">
        <v>105</v>
      </c>
      <c r="D28" s="26" t="s">
        <v>106</v>
      </c>
      <c r="E28" s="26" t="s">
        <v>107</v>
      </c>
    </row>
    <row r="29" spans="1:5" ht="12.75">
      <c r="A29" s="30" t="s">
        <v>515</v>
      </c>
      <c r="B29" s="28" t="s">
        <v>102</v>
      </c>
      <c r="C29" s="28" t="s">
        <v>222</v>
      </c>
      <c r="D29" s="28" t="s">
        <v>259</v>
      </c>
      <c r="E29" s="27" t="s">
        <v>571</v>
      </c>
    </row>
    <row r="30" spans="1:5" ht="12.75">
      <c r="A30" s="30" t="s">
        <v>189</v>
      </c>
      <c r="B30" s="28" t="s">
        <v>102</v>
      </c>
      <c r="C30" s="28" t="s">
        <v>222</v>
      </c>
      <c r="D30" s="28" t="s">
        <v>259</v>
      </c>
      <c r="E30" s="27" t="s">
        <v>570</v>
      </c>
    </row>
    <row r="31" spans="1:5" ht="12.75">
      <c r="A31" s="30" t="s">
        <v>569</v>
      </c>
      <c r="B31" s="28" t="s">
        <v>102</v>
      </c>
      <c r="C31" s="28" t="s">
        <v>126</v>
      </c>
      <c r="D31" s="28" t="s">
        <v>26</v>
      </c>
      <c r="E31" s="27" t="s">
        <v>568</v>
      </c>
    </row>
    <row r="32" spans="1:5" ht="12.75">
      <c r="A32" s="30" t="s">
        <v>522</v>
      </c>
      <c r="B32" s="28" t="s">
        <v>102</v>
      </c>
      <c r="C32" s="28" t="s">
        <v>114</v>
      </c>
      <c r="D32" s="28" t="s">
        <v>24</v>
      </c>
      <c r="E32" s="27" t="s">
        <v>567</v>
      </c>
    </row>
    <row r="34" spans="1:2" ht="14.25">
      <c r="A34" s="32"/>
      <c r="B34" s="31" t="s">
        <v>124</v>
      </c>
    </row>
    <row r="35" spans="1:5" ht="15">
      <c r="A35" s="26" t="s">
        <v>103</v>
      </c>
      <c r="B35" s="26" t="s">
        <v>104</v>
      </c>
      <c r="C35" s="26" t="s">
        <v>105</v>
      </c>
      <c r="D35" s="26" t="s">
        <v>106</v>
      </c>
      <c r="E35" s="26" t="s">
        <v>107</v>
      </c>
    </row>
    <row r="36" spans="1:5" ht="12.75">
      <c r="A36" s="30" t="s">
        <v>566</v>
      </c>
      <c r="B36" s="28" t="s">
        <v>184</v>
      </c>
      <c r="C36" s="28" t="s">
        <v>114</v>
      </c>
      <c r="D36" s="28" t="s">
        <v>26</v>
      </c>
      <c r="E36" s="27" t="s">
        <v>565</v>
      </c>
    </row>
    <row r="37" spans="1:5" ht="12.75">
      <c r="A37" s="30" t="s">
        <v>564</v>
      </c>
      <c r="B37" s="28" t="s">
        <v>184</v>
      </c>
      <c r="C37" s="28" t="s">
        <v>222</v>
      </c>
      <c r="D37" s="28" t="s">
        <v>259</v>
      </c>
      <c r="E37" s="27" t="s">
        <v>563</v>
      </c>
    </row>
  </sheetData>
  <sheetProtection/>
  <mergeCells count="14">
    <mergeCell ref="A5:L5"/>
    <mergeCell ref="A10:L10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8.25390625" style="27" bestFit="1" customWidth="1"/>
    <col min="2" max="2" width="28.625" style="28" bestFit="1" customWidth="1"/>
    <col min="3" max="3" width="10.625" style="28" bestFit="1" customWidth="1"/>
    <col min="4" max="4" width="9.25390625" style="28" bestFit="1" customWidth="1"/>
    <col min="5" max="5" width="22.75390625" style="29" bestFit="1" customWidth="1"/>
    <col min="6" max="6" width="30.25390625" style="29" bestFit="1" customWidth="1"/>
    <col min="7" max="14" width="4.625" style="28" bestFit="1" customWidth="1"/>
    <col min="15" max="15" width="7.875" style="27" bestFit="1" customWidth="1"/>
    <col min="16" max="16" width="7.625" style="28" bestFit="1" customWidth="1"/>
    <col min="17" max="17" width="8.875" style="29" bestFit="1" customWidth="1"/>
    <col min="18" max="16384" width="9.125" style="28" customWidth="1"/>
  </cols>
  <sheetData>
    <row r="1" spans="1:17" ht="28.5" customHeight="1">
      <c r="A1" s="73" t="s">
        <v>562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65" t="s">
        <v>0</v>
      </c>
      <c r="B3" s="67" t="s">
        <v>6</v>
      </c>
      <c r="C3" s="67" t="s">
        <v>561</v>
      </c>
      <c r="D3" s="69" t="s">
        <v>10</v>
      </c>
      <c r="E3" s="69" t="s">
        <v>4</v>
      </c>
      <c r="F3" s="69" t="s">
        <v>8</v>
      </c>
      <c r="G3" s="69" t="s">
        <v>560</v>
      </c>
      <c r="H3" s="69"/>
      <c r="I3" s="69"/>
      <c r="J3" s="69"/>
      <c r="K3" s="69" t="s">
        <v>559</v>
      </c>
      <c r="L3" s="69"/>
      <c r="M3" s="69"/>
      <c r="N3" s="69"/>
      <c r="O3" s="69" t="s">
        <v>1</v>
      </c>
      <c r="P3" s="69" t="s">
        <v>3</v>
      </c>
      <c r="Q3" s="70" t="s">
        <v>2</v>
      </c>
    </row>
    <row r="4" spans="1:17" s="1" customFormat="1" ht="21" customHeight="1" thickBot="1">
      <c r="A4" s="66"/>
      <c r="B4" s="68"/>
      <c r="C4" s="68"/>
      <c r="D4" s="68"/>
      <c r="E4" s="68"/>
      <c r="F4" s="68"/>
      <c r="G4" s="39">
        <v>1</v>
      </c>
      <c r="H4" s="39">
        <v>2</v>
      </c>
      <c r="I4" s="39">
        <v>3</v>
      </c>
      <c r="J4" s="39" t="s">
        <v>5</v>
      </c>
      <c r="K4" s="39">
        <v>1</v>
      </c>
      <c r="L4" s="39">
        <v>2</v>
      </c>
      <c r="M4" s="39">
        <v>3</v>
      </c>
      <c r="N4" s="39" t="s">
        <v>5</v>
      </c>
      <c r="O4" s="68"/>
      <c r="P4" s="68"/>
      <c r="Q4" s="71"/>
    </row>
    <row r="5" spans="1:16" ht="15">
      <c r="A5" s="72" t="s">
        <v>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2.75">
      <c r="A6" s="38" t="s">
        <v>558</v>
      </c>
      <c r="B6" s="37" t="s">
        <v>557</v>
      </c>
      <c r="C6" s="37" t="s">
        <v>556</v>
      </c>
      <c r="D6" s="37" t="str">
        <f>"0,5926"</f>
        <v>0,5926</v>
      </c>
      <c r="E6" s="36" t="s">
        <v>19</v>
      </c>
      <c r="F6" s="36" t="s">
        <v>193</v>
      </c>
      <c r="G6" s="37" t="s">
        <v>272</v>
      </c>
      <c r="H6" s="9" t="s">
        <v>431</v>
      </c>
      <c r="I6" s="37" t="s">
        <v>431</v>
      </c>
      <c r="J6" s="37" t="s">
        <v>273</v>
      </c>
      <c r="K6" s="37" t="s">
        <v>24</v>
      </c>
      <c r="L6" s="37" t="s">
        <v>259</v>
      </c>
      <c r="M6" s="37" t="s">
        <v>25</v>
      </c>
      <c r="N6" s="9"/>
      <c r="O6" s="38" t="str">
        <f>"140,0"</f>
        <v>140,0</v>
      </c>
      <c r="P6" s="37" t="str">
        <f>"86,9463"</f>
        <v>86,9463</v>
      </c>
      <c r="Q6" s="36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35" t="s">
        <v>100</v>
      </c>
      <c r="B16" s="34"/>
    </row>
    <row r="17" spans="1:2" ht="15">
      <c r="A17" s="33" t="s">
        <v>111</v>
      </c>
      <c r="B17" s="10"/>
    </row>
    <row r="18" spans="1:2" ht="14.25">
      <c r="A18" s="32"/>
      <c r="B18" s="31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107</v>
      </c>
    </row>
    <row r="20" spans="1:5" ht="12.75">
      <c r="A20" s="30" t="s">
        <v>555</v>
      </c>
      <c r="B20" s="28" t="s">
        <v>125</v>
      </c>
      <c r="C20" s="28" t="s">
        <v>126</v>
      </c>
      <c r="D20" s="28" t="s">
        <v>43</v>
      </c>
      <c r="E20" s="27" t="s">
        <v>554</v>
      </c>
    </row>
  </sheetData>
  <sheetProtection/>
  <mergeCells count="13"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8.25390625" style="27" bestFit="1" customWidth="1"/>
    <col min="2" max="2" width="28.625" style="28" bestFit="1" customWidth="1"/>
    <col min="3" max="3" width="10.625" style="28" bestFit="1" customWidth="1"/>
    <col min="4" max="4" width="9.25390625" style="28" bestFit="1" customWidth="1"/>
    <col min="5" max="5" width="22.75390625" style="29" bestFit="1" customWidth="1"/>
    <col min="6" max="6" width="30.625" style="29" bestFit="1" customWidth="1"/>
    <col min="7" max="12" width="4.625" style="28" bestFit="1" customWidth="1"/>
    <col min="13" max="13" width="5.625" style="28" bestFit="1" customWidth="1"/>
    <col min="14" max="14" width="4.625" style="28" bestFit="1" customWidth="1"/>
    <col min="15" max="15" width="7.875" style="27" bestFit="1" customWidth="1"/>
    <col min="16" max="16" width="7.625" style="28" bestFit="1" customWidth="1"/>
    <col min="17" max="17" width="8.875" style="29" bestFit="1" customWidth="1"/>
    <col min="18" max="16384" width="9.125" style="28" customWidth="1"/>
  </cols>
  <sheetData>
    <row r="1" spans="1:17" ht="28.5" customHeight="1">
      <c r="A1" s="73" t="s">
        <v>590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65" t="s">
        <v>0</v>
      </c>
      <c r="B3" s="67" t="s">
        <v>6</v>
      </c>
      <c r="C3" s="67" t="s">
        <v>561</v>
      </c>
      <c r="D3" s="69" t="s">
        <v>10</v>
      </c>
      <c r="E3" s="69" t="s">
        <v>4</v>
      </c>
      <c r="F3" s="69" t="s">
        <v>8</v>
      </c>
      <c r="G3" s="69" t="s">
        <v>560</v>
      </c>
      <c r="H3" s="69"/>
      <c r="I3" s="69"/>
      <c r="J3" s="69"/>
      <c r="K3" s="69" t="s">
        <v>559</v>
      </c>
      <c r="L3" s="69"/>
      <c r="M3" s="69"/>
      <c r="N3" s="69"/>
      <c r="O3" s="69" t="s">
        <v>1</v>
      </c>
      <c r="P3" s="69" t="s">
        <v>3</v>
      </c>
      <c r="Q3" s="70" t="s">
        <v>2</v>
      </c>
    </row>
    <row r="4" spans="1:17" s="1" customFormat="1" ht="21" customHeight="1" thickBot="1">
      <c r="A4" s="66"/>
      <c r="B4" s="68"/>
      <c r="C4" s="68"/>
      <c r="D4" s="68"/>
      <c r="E4" s="68"/>
      <c r="F4" s="68"/>
      <c r="G4" s="39">
        <v>1</v>
      </c>
      <c r="H4" s="39">
        <v>2</v>
      </c>
      <c r="I4" s="39">
        <v>3</v>
      </c>
      <c r="J4" s="39" t="s">
        <v>5</v>
      </c>
      <c r="K4" s="39">
        <v>1</v>
      </c>
      <c r="L4" s="39">
        <v>2</v>
      </c>
      <c r="M4" s="39">
        <v>3</v>
      </c>
      <c r="N4" s="39" t="s">
        <v>5</v>
      </c>
      <c r="O4" s="68"/>
      <c r="P4" s="68"/>
      <c r="Q4" s="71"/>
    </row>
    <row r="5" spans="1:16" ht="1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2.75">
      <c r="A6" s="38" t="s">
        <v>580</v>
      </c>
      <c r="B6" s="37" t="s">
        <v>579</v>
      </c>
      <c r="C6" s="37" t="s">
        <v>578</v>
      </c>
      <c r="D6" s="37" t="str">
        <f>"0,6318"</f>
        <v>0,6318</v>
      </c>
      <c r="E6" s="36" t="s">
        <v>51</v>
      </c>
      <c r="F6" s="36" t="s">
        <v>445</v>
      </c>
      <c r="G6" s="37" t="s">
        <v>591</v>
      </c>
      <c r="H6" s="9" t="s">
        <v>592</v>
      </c>
      <c r="I6" s="37" t="s">
        <v>592</v>
      </c>
      <c r="J6" s="9"/>
      <c r="K6" s="37" t="s">
        <v>259</v>
      </c>
      <c r="L6" s="37" t="s">
        <v>26</v>
      </c>
      <c r="M6" s="9" t="s">
        <v>577</v>
      </c>
      <c r="N6" s="9"/>
      <c r="O6" s="38" t="str">
        <f>"140,0"</f>
        <v>140,0</v>
      </c>
      <c r="P6" s="37" t="str">
        <f>"88,7174"</f>
        <v>88,7174</v>
      </c>
      <c r="Q6" s="36" t="s">
        <v>30</v>
      </c>
    </row>
    <row r="8" spans="1:16" ht="15">
      <c r="A8" s="58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7" ht="12.75">
      <c r="A9" s="38" t="s">
        <v>593</v>
      </c>
      <c r="B9" s="37" t="s">
        <v>594</v>
      </c>
      <c r="C9" s="37" t="s">
        <v>595</v>
      </c>
      <c r="D9" s="37" t="str">
        <f>"0,6122"</f>
        <v>0,6122</v>
      </c>
      <c r="E9" s="36" t="s">
        <v>51</v>
      </c>
      <c r="F9" s="36" t="s">
        <v>271</v>
      </c>
      <c r="G9" s="37" t="s">
        <v>596</v>
      </c>
      <c r="H9" s="37" t="s">
        <v>272</v>
      </c>
      <c r="I9" s="37" t="s">
        <v>431</v>
      </c>
      <c r="J9" s="9"/>
      <c r="K9" s="37" t="s">
        <v>24</v>
      </c>
      <c r="L9" s="37" t="s">
        <v>25</v>
      </c>
      <c r="M9" s="37" t="s">
        <v>597</v>
      </c>
      <c r="N9" s="9"/>
      <c r="O9" s="38" t="str">
        <f>"145,0"</f>
        <v>145,0</v>
      </c>
      <c r="P9" s="37" t="str">
        <f>"88,7690"</f>
        <v>88,7690</v>
      </c>
      <c r="Q9" s="36" t="s">
        <v>30</v>
      </c>
    </row>
    <row r="11" ht="15">
      <c r="E11" s="20" t="s">
        <v>95</v>
      </c>
    </row>
    <row r="12" ht="15">
      <c r="E12" s="20" t="s">
        <v>96</v>
      </c>
    </row>
    <row r="13" ht="15">
      <c r="E13" s="20" t="s">
        <v>97</v>
      </c>
    </row>
    <row r="14" ht="15">
      <c r="E14" s="20" t="s">
        <v>98</v>
      </c>
    </row>
    <row r="15" ht="15">
      <c r="E15" s="20" t="s">
        <v>98</v>
      </c>
    </row>
    <row r="16" ht="15">
      <c r="E16" s="20" t="s">
        <v>99</v>
      </c>
    </row>
    <row r="17" ht="15">
      <c r="E17" s="20"/>
    </row>
    <row r="19" spans="1:2" ht="18">
      <c r="A19" s="35" t="s">
        <v>100</v>
      </c>
      <c r="B19" s="34"/>
    </row>
    <row r="20" spans="1:2" ht="15">
      <c r="A20" s="33" t="s">
        <v>111</v>
      </c>
      <c r="B20" s="10"/>
    </row>
    <row r="21" spans="1:2" ht="14.25">
      <c r="A21" s="32"/>
      <c r="B21" s="31" t="s">
        <v>102</v>
      </c>
    </row>
    <row r="22" spans="1:5" ht="15">
      <c r="A22" s="26" t="s">
        <v>103</v>
      </c>
      <c r="B22" s="26" t="s">
        <v>104</v>
      </c>
      <c r="C22" s="26" t="s">
        <v>105</v>
      </c>
      <c r="D22" s="26" t="s">
        <v>106</v>
      </c>
      <c r="E22" s="26" t="s">
        <v>107</v>
      </c>
    </row>
    <row r="23" spans="1:5" ht="12.75">
      <c r="A23" s="30" t="s">
        <v>598</v>
      </c>
      <c r="B23" s="28" t="s">
        <v>102</v>
      </c>
      <c r="C23" s="28" t="s">
        <v>126</v>
      </c>
      <c r="D23" s="28" t="s">
        <v>154</v>
      </c>
      <c r="E23" s="27" t="s">
        <v>599</v>
      </c>
    </row>
    <row r="25" spans="1:2" ht="14.25">
      <c r="A25" s="32"/>
      <c r="B25" s="31" t="s">
        <v>124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107</v>
      </c>
    </row>
    <row r="27" spans="1:5" ht="12.75">
      <c r="A27" s="30" t="s">
        <v>566</v>
      </c>
      <c r="B27" s="28" t="s">
        <v>184</v>
      </c>
      <c r="C27" s="28" t="s">
        <v>114</v>
      </c>
      <c r="D27" s="28" t="s">
        <v>43</v>
      </c>
      <c r="E27" s="27" t="s">
        <v>600</v>
      </c>
    </row>
  </sheetData>
  <sheetProtection/>
  <mergeCells count="14">
    <mergeCell ref="P3:P4"/>
    <mergeCell ref="Q3:Q4"/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8.25390625" style="27" bestFit="1" customWidth="1"/>
    <col min="2" max="2" width="28.625" style="28" bestFit="1" customWidth="1"/>
    <col min="3" max="3" width="10.625" style="28" bestFit="1" customWidth="1"/>
    <col min="4" max="4" width="9.25390625" style="28" bestFit="1" customWidth="1"/>
    <col min="5" max="5" width="22.75390625" style="29" bestFit="1" customWidth="1"/>
    <col min="6" max="6" width="30.25390625" style="29" bestFit="1" customWidth="1"/>
    <col min="7" max="10" width="4.625" style="28" bestFit="1" customWidth="1"/>
    <col min="11" max="11" width="7.875" style="27" bestFit="1" customWidth="1"/>
    <col min="12" max="12" width="7.625" style="28" bestFit="1" customWidth="1"/>
    <col min="13" max="13" width="8.875" style="29" bestFit="1" customWidth="1"/>
    <col min="14" max="16384" width="9.125" style="28" customWidth="1"/>
  </cols>
  <sheetData>
    <row r="1" spans="1:13" ht="28.5" customHeight="1">
      <c r="A1" s="73" t="s">
        <v>602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65" t="s">
        <v>0</v>
      </c>
      <c r="B3" s="67" t="s">
        <v>6</v>
      </c>
      <c r="C3" s="67" t="s">
        <v>561</v>
      </c>
      <c r="D3" s="69" t="s">
        <v>10</v>
      </c>
      <c r="E3" s="69" t="s">
        <v>4</v>
      </c>
      <c r="F3" s="69" t="s">
        <v>8</v>
      </c>
      <c r="G3" s="69" t="s">
        <v>560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39">
        <v>1</v>
      </c>
      <c r="H4" s="39">
        <v>2</v>
      </c>
      <c r="I4" s="39">
        <v>3</v>
      </c>
      <c r="J4" s="39" t="s">
        <v>5</v>
      </c>
      <c r="K4" s="68"/>
      <c r="L4" s="68"/>
      <c r="M4" s="71"/>
    </row>
    <row r="5" spans="1:12" ht="15">
      <c r="A5" s="72" t="s">
        <v>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38" t="s">
        <v>558</v>
      </c>
      <c r="B6" s="37" t="s">
        <v>557</v>
      </c>
      <c r="C6" s="37" t="s">
        <v>556</v>
      </c>
      <c r="D6" s="37" t="str">
        <f>"0,5926"</f>
        <v>0,5926</v>
      </c>
      <c r="E6" s="36" t="s">
        <v>19</v>
      </c>
      <c r="F6" s="36" t="s">
        <v>193</v>
      </c>
      <c r="G6" s="37" t="s">
        <v>272</v>
      </c>
      <c r="H6" s="9" t="s">
        <v>431</v>
      </c>
      <c r="I6" s="37" t="s">
        <v>431</v>
      </c>
      <c r="J6" s="37" t="s">
        <v>273</v>
      </c>
      <c r="K6" s="38" t="str">
        <f>"80,0"</f>
        <v>80,0</v>
      </c>
      <c r="L6" s="37" t="str">
        <f>"49,6836"</f>
        <v>49,6836</v>
      </c>
      <c r="M6" s="36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35" t="s">
        <v>100</v>
      </c>
      <c r="B16" s="34"/>
    </row>
    <row r="17" spans="1:2" ht="15">
      <c r="A17" s="33" t="s">
        <v>111</v>
      </c>
      <c r="B17" s="10"/>
    </row>
    <row r="18" spans="1:2" ht="14.25">
      <c r="A18" s="32"/>
      <c r="B18" s="31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107</v>
      </c>
    </row>
    <row r="20" spans="1:5" ht="12.75">
      <c r="A20" s="30" t="s">
        <v>555</v>
      </c>
      <c r="B20" s="28" t="s">
        <v>125</v>
      </c>
      <c r="C20" s="28" t="s">
        <v>126</v>
      </c>
      <c r="D20" s="28" t="s">
        <v>431</v>
      </c>
      <c r="E20" s="27" t="s">
        <v>601</v>
      </c>
    </row>
  </sheetData>
  <sheetProtection/>
  <mergeCells count="12"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6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619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617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612</v>
      </c>
      <c r="B6" s="7" t="s">
        <v>611</v>
      </c>
      <c r="C6" s="7" t="s">
        <v>610</v>
      </c>
      <c r="D6" s="7" t="str">
        <f>"1,0000"</f>
        <v>1,0000</v>
      </c>
      <c r="E6" s="7" t="s">
        <v>51</v>
      </c>
      <c r="F6" s="7" t="s">
        <v>93</v>
      </c>
      <c r="G6" s="8" t="s">
        <v>609</v>
      </c>
      <c r="H6" s="50" t="s">
        <v>608</v>
      </c>
      <c r="I6" s="7" t="str">
        <f>"4700,0"</f>
        <v>4700,0</v>
      </c>
      <c r="J6" s="8" t="str">
        <f>"48,6542"</f>
        <v>48,6542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606</v>
      </c>
      <c r="B20" s="4" t="s">
        <v>125</v>
      </c>
      <c r="C20" s="4" t="s">
        <v>605</v>
      </c>
      <c r="D20" s="4" t="s">
        <v>604</v>
      </c>
      <c r="E20" s="27" t="s">
        <v>603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624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212</v>
      </c>
      <c r="B6" s="7" t="s">
        <v>213</v>
      </c>
      <c r="C6" s="7" t="s">
        <v>214</v>
      </c>
      <c r="D6" s="7" t="str">
        <f>"1,0000"</f>
        <v>1,0000</v>
      </c>
      <c r="E6" s="7" t="s">
        <v>19</v>
      </c>
      <c r="F6" s="7" t="s">
        <v>215</v>
      </c>
      <c r="G6" s="8" t="s">
        <v>23</v>
      </c>
      <c r="H6" s="50" t="s">
        <v>622</v>
      </c>
      <c r="I6" s="7" t="str">
        <f>"2500,0"</f>
        <v>2500,0</v>
      </c>
      <c r="J6" s="8" t="str">
        <f>"21,3675"</f>
        <v>21,3675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102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211</v>
      </c>
      <c r="B20" s="4" t="s">
        <v>102</v>
      </c>
      <c r="C20" s="4" t="s">
        <v>605</v>
      </c>
      <c r="D20" s="4" t="s">
        <v>621</v>
      </c>
      <c r="E20" s="27" t="s">
        <v>620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632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631</v>
      </c>
      <c r="B6" s="7" t="s">
        <v>630</v>
      </c>
      <c r="C6" s="7" t="s">
        <v>629</v>
      </c>
      <c r="D6" s="7" t="str">
        <f>"1,0000"</f>
        <v>1,0000</v>
      </c>
      <c r="E6" s="7" t="s">
        <v>51</v>
      </c>
      <c r="F6" s="7" t="s">
        <v>93</v>
      </c>
      <c r="G6" s="8" t="s">
        <v>360</v>
      </c>
      <c r="H6" s="50" t="s">
        <v>628</v>
      </c>
      <c r="I6" s="7" t="str">
        <f>"4725,0"</f>
        <v>4725,0</v>
      </c>
      <c r="J6" s="8" t="str">
        <f>"53,3295"</f>
        <v>53,3295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627</v>
      </c>
      <c r="B20" s="4" t="s">
        <v>184</v>
      </c>
      <c r="C20" s="4" t="s">
        <v>605</v>
      </c>
      <c r="D20" s="4" t="s">
        <v>626</v>
      </c>
      <c r="E20" s="27" t="s">
        <v>625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7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509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13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511</v>
      </c>
      <c r="B6" s="7" t="s">
        <v>512</v>
      </c>
      <c r="C6" s="7" t="s">
        <v>513</v>
      </c>
      <c r="D6" s="7" t="str">
        <f>"0,8857"</f>
        <v>0,8857</v>
      </c>
      <c r="E6" s="7" t="s">
        <v>19</v>
      </c>
      <c r="F6" s="7" t="s">
        <v>20</v>
      </c>
      <c r="G6" s="8" t="s">
        <v>194</v>
      </c>
      <c r="H6" s="8" t="s">
        <v>27</v>
      </c>
      <c r="I6" s="9"/>
      <c r="J6" s="9"/>
      <c r="K6" s="7" t="str">
        <f>"112,5"</f>
        <v>112,5</v>
      </c>
      <c r="L6" s="8" t="str">
        <f>"99,6412"</f>
        <v>99,6412</v>
      </c>
      <c r="M6" s="7" t="s">
        <v>30</v>
      </c>
    </row>
    <row r="8" spans="1:12" ht="15">
      <c r="A8" s="58" t="s">
        <v>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11" t="s">
        <v>33</v>
      </c>
      <c r="B9" s="11" t="s">
        <v>514</v>
      </c>
      <c r="C9" s="11" t="s">
        <v>35</v>
      </c>
      <c r="D9" s="11" t="str">
        <f>"0,7297"</f>
        <v>0,7297</v>
      </c>
      <c r="E9" s="11" t="s">
        <v>36</v>
      </c>
      <c r="F9" s="11" t="s">
        <v>37</v>
      </c>
      <c r="G9" s="13" t="s">
        <v>44</v>
      </c>
      <c r="H9" s="12" t="s">
        <v>44</v>
      </c>
      <c r="I9" s="12" t="s">
        <v>45</v>
      </c>
      <c r="J9" s="13"/>
      <c r="K9" s="11" t="str">
        <f>"245,0"</f>
        <v>245,0</v>
      </c>
      <c r="L9" s="12" t="str">
        <f>"180,5643"</f>
        <v>180,5643</v>
      </c>
      <c r="M9" s="11" t="s">
        <v>30</v>
      </c>
    </row>
    <row r="10" spans="1:13" ht="12.75">
      <c r="A10" s="14" t="s">
        <v>48</v>
      </c>
      <c r="B10" s="14" t="s">
        <v>49</v>
      </c>
      <c r="C10" s="14" t="s">
        <v>50</v>
      </c>
      <c r="D10" s="14" t="str">
        <f>"0,7398"</f>
        <v>0,7398</v>
      </c>
      <c r="E10" s="14" t="s">
        <v>51</v>
      </c>
      <c r="F10" s="14" t="s">
        <v>52</v>
      </c>
      <c r="G10" s="15" t="s">
        <v>55</v>
      </c>
      <c r="H10" s="16"/>
      <c r="I10" s="16"/>
      <c r="J10" s="16"/>
      <c r="K10" s="14" t="str">
        <f>"160,0"</f>
        <v>160,0</v>
      </c>
      <c r="L10" s="15" t="str">
        <f>"118,3680"</f>
        <v>118,3680</v>
      </c>
      <c r="M10" s="14" t="s">
        <v>30</v>
      </c>
    </row>
    <row r="12" spans="1:12" ht="15">
      <c r="A12" s="58" t="s">
        <v>188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 ht="12.75">
      <c r="A13" s="7" t="s">
        <v>516</v>
      </c>
      <c r="B13" s="7" t="s">
        <v>517</v>
      </c>
      <c r="C13" s="7" t="s">
        <v>518</v>
      </c>
      <c r="D13" s="7" t="str">
        <f>"0,6805"</f>
        <v>0,6805</v>
      </c>
      <c r="E13" s="7" t="s">
        <v>51</v>
      </c>
      <c r="F13" s="7" t="s">
        <v>519</v>
      </c>
      <c r="G13" s="8" t="s">
        <v>81</v>
      </c>
      <c r="H13" s="8" t="s">
        <v>520</v>
      </c>
      <c r="I13" s="8" t="s">
        <v>521</v>
      </c>
      <c r="J13" s="9"/>
      <c r="K13" s="7" t="str">
        <f>"205,0"</f>
        <v>205,0</v>
      </c>
      <c r="L13" s="8" t="str">
        <f>"139,5025"</f>
        <v>139,5025</v>
      </c>
      <c r="M13" s="7" t="s">
        <v>30</v>
      </c>
    </row>
    <row r="15" spans="1:12" ht="15">
      <c r="A15" s="58" t="s">
        <v>56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3" ht="12.75">
      <c r="A16" s="11" t="s">
        <v>523</v>
      </c>
      <c r="B16" s="11" t="s">
        <v>524</v>
      </c>
      <c r="C16" s="11" t="s">
        <v>525</v>
      </c>
      <c r="D16" s="11" t="str">
        <f>"0,6273"</f>
        <v>0,6273</v>
      </c>
      <c r="E16" s="11" t="s">
        <v>19</v>
      </c>
      <c r="F16" s="11" t="s">
        <v>526</v>
      </c>
      <c r="G16" s="12" t="s">
        <v>63</v>
      </c>
      <c r="H16" s="12" t="s">
        <v>64</v>
      </c>
      <c r="I16" s="12" t="s">
        <v>337</v>
      </c>
      <c r="J16" s="13"/>
      <c r="K16" s="11" t="str">
        <f>"217,5"</f>
        <v>217,5</v>
      </c>
      <c r="L16" s="12" t="str">
        <f>"136,4378"</f>
        <v>136,4378</v>
      </c>
      <c r="M16" s="11" t="s">
        <v>30</v>
      </c>
    </row>
    <row r="17" spans="1:13" ht="12.75">
      <c r="A17" s="14" t="s">
        <v>313</v>
      </c>
      <c r="B17" s="14" t="s">
        <v>314</v>
      </c>
      <c r="C17" s="14" t="s">
        <v>315</v>
      </c>
      <c r="D17" s="14" t="str">
        <f>"0,6214"</f>
        <v>0,6214</v>
      </c>
      <c r="E17" s="14" t="s">
        <v>51</v>
      </c>
      <c r="F17" s="14" t="s">
        <v>93</v>
      </c>
      <c r="G17" s="15" t="s">
        <v>527</v>
      </c>
      <c r="H17" s="15" t="s">
        <v>528</v>
      </c>
      <c r="I17" s="16" t="s">
        <v>160</v>
      </c>
      <c r="J17" s="16"/>
      <c r="K17" s="14" t="str">
        <f>"212,5"</f>
        <v>212,5</v>
      </c>
      <c r="L17" s="15" t="str">
        <f>"132,0475"</f>
        <v>132,0475</v>
      </c>
      <c r="M17" s="14" t="s">
        <v>30</v>
      </c>
    </row>
    <row r="19" ht="15">
      <c r="E19" s="20" t="s">
        <v>95</v>
      </c>
    </row>
    <row r="20" ht="15">
      <c r="E20" s="20" t="s">
        <v>96</v>
      </c>
    </row>
    <row r="21" ht="15">
      <c r="E21" s="20" t="s">
        <v>97</v>
      </c>
    </row>
    <row r="22" ht="15">
      <c r="E22" s="20" t="s">
        <v>98</v>
      </c>
    </row>
    <row r="23" ht="15">
      <c r="E23" s="20" t="s">
        <v>98</v>
      </c>
    </row>
    <row r="24" ht="15">
      <c r="E24" s="20" t="s">
        <v>99</v>
      </c>
    </row>
    <row r="25" ht="15">
      <c r="E25" s="20"/>
    </row>
    <row r="27" spans="1:2" ht="18">
      <c r="A27" s="21" t="s">
        <v>100</v>
      </c>
      <c r="B27" s="21"/>
    </row>
    <row r="28" spans="1:2" ht="15">
      <c r="A28" s="22" t="s">
        <v>101</v>
      </c>
      <c r="B28" s="22"/>
    </row>
    <row r="29" spans="1:2" ht="14.25">
      <c r="A29" s="24"/>
      <c r="B29" s="25" t="s">
        <v>102</v>
      </c>
    </row>
    <row r="30" spans="1:5" ht="15">
      <c r="A30" s="26" t="s">
        <v>103</v>
      </c>
      <c r="B30" s="26" t="s">
        <v>104</v>
      </c>
      <c r="C30" s="26" t="s">
        <v>105</v>
      </c>
      <c r="D30" s="26" t="s">
        <v>106</v>
      </c>
      <c r="E30" s="26" t="s">
        <v>107</v>
      </c>
    </row>
    <row r="31" spans="1:5" ht="12.75">
      <c r="A31" s="23" t="s">
        <v>510</v>
      </c>
      <c r="B31" s="4" t="s">
        <v>102</v>
      </c>
      <c r="C31" s="4" t="s">
        <v>108</v>
      </c>
      <c r="D31" s="4" t="s">
        <v>27</v>
      </c>
      <c r="E31" s="27" t="s">
        <v>529</v>
      </c>
    </row>
    <row r="34" spans="1:2" ht="15">
      <c r="A34" s="22" t="s">
        <v>111</v>
      </c>
      <c r="B34" s="22"/>
    </row>
    <row r="35" spans="1:2" ht="14.25">
      <c r="A35" s="24"/>
      <c r="B35" s="25" t="s">
        <v>112</v>
      </c>
    </row>
    <row r="36" spans="1:5" ht="15">
      <c r="A36" s="26" t="s">
        <v>103</v>
      </c>
      <c r="B36" s="26" t="s">
        <v>104</v>
      </c>
      <c r="C36" s="26" t="s">
        <v>105</v>
      </c>
      <c r="D36" s="26" t="s">
        <v>106</v>
      </c>
      <c r="E36" s="26" t="s">
        <v>107</v>
      </c>
    </row>
    <row r="37" spans="1:5" ht="12.75">
      <c r="A37" s="23" t="s">
        <v>32</v>
      </c>
      <c r="B37" s="4" t="s">
        <v>113</v>
      </c>
      <c r="C37" s="4" t="s">
        <v>119</v>
      </c>
      <c r="D37" s="4" t="s">
        <v>45</v>
      </c>
      <c r="E37" s="27" t="s">
        <v>530</v>
      </c>
    </row>
    <row r="39" spans="1:2" ht="14.25">
      <c r="A39" s="24"/>
      <c r="B39" s="25" t="s">
        <v>102</v>
      </c>
    </row>
    <row r="40" spans="1:5" ht="15">
      <c r="A40" s="26" t="s">
        <v>103</v>
      </c>
      <c r="B40" s="26" t="s">
        <v>104</v>
      </c>
      <c r="C40" s="26" t="s">
        <v>105</v>
      </c>
      <c r="D40" s="26" t="s">
        <v>106</v>
      </c>
      <c r="E40" s="26" t="s">
        <v>107</v>
      </c>
    </row>
    <row r="41" spans="1:5" ht="12.75">
      <c r="A41" s="23" t="s">
        <v>515</v>
      </c>
      <c r="B41" s="4" t="s">
        <v>102</v>
      </c>
      <c r="C41" s="4" t="s">
        <v>222</v>
      </c>
      <c r="D41" s="4" t="s">
        <v>151</v>
      </c>
      <c r="E41" s="27" t="s">
        <v>531</v>
      </c>
    </row>
    <row r="42" spans="1:5" ht="12.75">
      <c r="A42" s="23" t="s">
        <v>522</v>
      </c>
      <c r="B42" s="4" t="s">
        <v>102</v>
      </c>
      <c r="C42" s="4" t="s">
        <v>114</v>
      </c>
      <c r="D42" s="4" t="s">
        <v>337</v>
      </c>
      <c r="E42" s="27" t="s">
        <v>532</v>
      </c>
    </row>
    <row r="43" spans="1:5" ht="12.75">
      <c r="A43" s="23" t="s">
        <v>312</v>
      </c>
      <c r="B43" s="4" t="s">
        <v>102</v>
      </c>
      <c r="C43" s="4" t="s">
        <v>114</v>
      </c>
      <c r="D43" s="4" t="s">
        <v>141</v>
      </c>
      <c r="E43" s="27" t="s">
        <v>533</v>
      </c>
    </row>
    <row r="45" spans="1:2" ht="14.25">
      <c r="A45" s="24"/>
      <c r="B45" s="25" t="s">
        <v>124</v>
      </c>
    </row>
    <row r="46" spans="1:5" ht="15">
      <c r="A46" s="26" t="s">
        <v>103</v>
      </c>
      <c r="B46" s="26" t="s">
        <v>104</v>
      </c>
      <c r="C46" s="26" t="s">
        <v>105</v>
      </c>
      <c r="D46" s="26" t="s">
        <v>106</v>
      </c>
      <c r="E46" s="26" t="s">
        <v>107</v>
      </c>
    </row>
    <row r="47" spans="1:5" ht="12.75">
      <c r="A47" s="23" t="s">
        <v>47</v>
      </c>
      <c r="B47" s="4" t="s">
        <v>129</v>
      </c>
      <c r="C47" s="4" t="s">
        <v>119</v>
      </c>
      <c r="D47" s="4" t="s">
        <v>84</v>
      </c>
      <c r="E47" s="27" t="s">
        <v>534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2:L1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2.37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663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261</v>
      </c>
      <c r="B6" s="7" t="s">
        <v>262</v>
      </c>
      <c r="C6" s="7" t="s">
        <v>263</v>
      </c>
      <c r="D6" s="7" t="str">
        <f>"1,0000"</f>
        <v>1,0000</v>
      </c>
      <c r="E6" s="7" t="s">
        <v>92</v>
      </c>
      <c r="F6" s="7" t="s">
        <v>93</v>
      </c>
      <c r="G6" s="8" t="s">
        <v>24</v>
      </c>
      <c r="H6" s="50" t="s">
        <v>662</v>
      </c>
      <c r="I6" s="7" t="str">
        <f>"1925,0"</f>
        <v>1925,0</v>
      </c>
      <c r="J6" s="8" t="str">
        <f>"30,9983"</f>
        <v>30,9983</v>
      </c>
      <c r="K6" s="7" t="s">
        <v>30</v>
      </c>
    </row>
    <row r="8" spans="1:10" ht="15">
      <c r="A8" s="58" t="s">
        <v>613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2.75">
      <c r="A9" s="11" t="s">
        <v>661</v>
      </c>
      <c r="B9" s="11" t="s">
        <v>660</v>
      </c>
      <c r="C9" s="11" t="s">
        <v>659</v>
      </c>
      <c r="D9" s="11" t="str">
        <f>"1,0000"</f>
        <v>1,0000</v>
      </c>
      <c r="E9" s="11" t="s">
        <v>51</v>
      </c>
      <c r="F9" s="11" t="s">
        <v>658</v>
      </c>
      <c r="G9" s="12" t="s">
        <v>24</v>
      </c>
      <c r="H9" s="54" t="s">
        <v>657</v>
      </c>
      <c r="I9" s="11" t="str">
        <f>"2640,0"</f>
        <v>2640,0</v>
      </c>
      <c r="J9" s="12" t="str">
        <f>"30,3797"</f>
        <v>30,3797</v>
      </c>
      <c r="K9" s="11" t="s">
        <v>30</v>
      </c>
    </row>
    <row r="10" spans="1:11" ht="12.75">
      <c r="A10" s="17" t="s">
        <v>656</v>
      </c>
      <c r="B10" s="17" t="s">
        <v>655</v>
      </c>
      <c r="C10" s="17" t="s">
        <v>646</v>
      </c>
      <c r="D10" s="17" t="str">
        <f>"1,0000"</f>
        <v>1,0000</v>
      </c>
      <c r="E10" s="17" t="s">
        <v>19</v>
      </c>
      <c r="F10" s="17" t="s">
        <v>80</v>
      </c>
      <c r="G10" s="18" t="s">
        <v>24</v>
      </c>
      <c r="H10" s="53" t="s">
        <v>645</v>
      </c>
      <c r="I10" s="17" t="str">
        <f>"2365,0"</f>
        <v>2365,0</v>
      </c>
      <c r="J10" s="18" t="str">
        <f>"29,9367"</f>
        <v>29,9367</v>
      </c>
      <c r="K10" s="17" t="s">
        <v>30</v>
      </c>
    </row>
    <row r="11" spans="1:11" ht="12.75">
      <c r="A11" s="17" t="s">
        <v>654</v>
      </c>
      <c r="B11" s="17" t="s">
        <v>653</v>
      </c>
      <c r="C11" s="17" t="s">
        <v>652</v>
      </c>
      <c r="D11" s="17" t="str">
        <f>"1,0000"</f>
        <v>1,0000</v>
      </c>
      <c r="E11" s="17" t="s">
        <v>51</v>
      </c>
      <c r="F11" s="17" t="s">
        <v>651</v>
      </c>
      <c r="G11" s="18" t="s">
        <v>24</v>
      </c>
      <c r="H11" s="53" t="s">
        <v>645</v>
      </c>
      <c r="I11" s="17" t="str">
        <f>"2365,0"</f>
        <v>2365,0</v>
      </c>
      <c r="J11" s="18" t="str">
        <f>"36,9531"</f>
        <v>36,9531</v>
      </c>
      <c r="K11" s="17" t="s">
        <v>30</v>
      </c>
    </row>
    <row r="12" spans="1:11" ht="12.75">
      <c r="A12" s="17" t="s">
        <v>612</v>
      </c>
      <c r="B12" s="17" t="s">
        <v>611</v>
      </c>
      <c r="C12" s="17" t="s">
        <v>610</v>
      </c>
      <c r="D12" s="17" t="str">
        <f>"1,0000"</f>
        <v>1,0000</v>
      </c>
      <c r="E12" s="17" t="s">
        <v>51</v>
      </c>
      <c r="F12" s="17" t="s">
        <v>93</v>
      </c>
      <c r="G12" s="18" t="s">
        <v>650</v>
      </c>
      <c r="H12" s="53" t="s">
        <v>649</v>
      </c>
      <c r="I12" s="17" t="str">
        <f>"3355,0"</f>
        <v>3355,0</v>
      </c>
      <c r="J12" s="18" t="str">
        <f>"34,7308"</f>
        <v>34,7308</v>
      </c>
      <c r="K12" s="17" t="s">
        <v>30</v>
      </c>
    </row>
    <row r="13" spans="1:11" ht="12.75">
      <c r="A13" s="14" t="s">
        <v>648</v>
      </c>
      <c r="B13" s="14" t="s">
        <v>647</v>
      </c>
      <c r="C13" s="14" t="s">
        <v>646</v>
      </c>
      <c r="D13" s="14" t="str">
        <f>"1,0000"</f>
        <v>1,0000</v>
      </c>
      <c r="E13" s="14" t="s">
        <v>19</v>
      </c>
      <c r="F13" s="14" t="s">
        <v>80</v>
      </c>
      <c r="G13" s="15" t="s">
        <v>24</v>
      </c>
      <c r="H13" s="52" t="s">
        <v>645</v>
      </c>
      <c r="I13" s="14" t="str">
        <f>"2365,0"</f>
        <v>2365,0</v>
      </c>
      <c r="J13" s="15" t="str">
        <f>"29,9367"</f>
        <v>29,9367</v>
      </c>
      <c r="K13" s="14" t="s">
        <v>30</v>
      </c>
    </row>
    <row r="15" ht="15">
      <c r="E15" s="20" t="s">
        <v>95</v>
      </c>
    </row>
    <row r="16" ht="15">
      <c r="E16" s="20" t="s">
        <v>96</v>
      </c>
    </row>
    <row r="17" ht="15">
      <c r="E17" s="20" t="s">
        <v>97</v>
      </c>
    </row>
    <row r="18" ht="15">
      <c r="E18" s="20" t="s">
        <v>98</v>
      </c>
    </row>
    <row r="19" ht="15">
      <c r="E19" s="20" t="s">
        <v>98</v>
      </c>
    </row>
    <row r="20" ht="15">
      <c r="E20" s="20" t="s">
        <v>99</v>
      </c>
    </row>
    <row r="21" ht="15">
      <c r="E21" s="20"/>
    </row>
    <row r="23" spans="1:2" ht="18">
      <c r="A23" s="21" t="s">
        <v>100</v>
      </c>
      <c r="B23" s="21"/>
    </row>
    <row r="24" spans="1:2" ht="15">
      <c r="A24" s="22" t="s">
        <v>101</v>
      </c>
      <c r="B24" s="22"/>
    </row>
    <row r="25" spans="1:2" ht="14.25">
      <c r="A25" s="24"/>
      <c r="B25" s="25" t="s">
        <v>102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607</v>
      </c>
    </row>
    <row r="27" spans="1:5" ht="12.75">
      <c r="A27" s="23" t="s">
        <v>260</v>
      </c>
      <c r="B27" s="4" t="s">
        <v>102</v>
      </c>
      <c r="C27" s="4" t="s">
        <v>605</v>
      </c>
      <c r="D27" s="4" t="s">
        <v>644</v>
      </c>
      <c r="E27" s="27" t="s">
        <v>643</v>
      </c>
    </row>
    <row r="30" spans="1:2" ht="15">
      <c r="A30" s="22" t="s">
        <v>111</v>
      </c>
      <c r="B30" s="22"/>
    </row>
    <row r="31" spans="1:2" ht="14.25">
      <c r="A31" s="24"/>
      <c r="B31" s="25" t="s">
        <v>102</v>
      </c>
    </row>
    <row r="32" spans="1:5" ht="15">
      <c r="A32" s="26" t="s">
        <v>103</v>
      </c>
      <c r="B32" s="26" t="s">
        <v>104</v>
      </c>
      <c r="C32" s="26" t="s">
        <v>105</v>
      </c>
      <c r="D32" s="26" t="s">
        <v>106</v>
      </c>
      <c r="E32" s="26" t="s">
        <v>607</v>
      </c>
    </row>
    <row r="33" spans="1:5" ht="12.75">
      <c r="A33" s="23" t="s">
        <v>642</v>
      </c>
      <c r="B33" s="4" t="s">
        <v>102</v>
      </c>
      <c r="C33" s="4" t="s">
        <v>605</v>
      </c>
      <c r="D33" s="4" t="s">
        <v>641</v>
      </c>
      <c r="E33" s="27" t="s">
        <v>640</v>
      </c>
    </row>
    <row r="34" spans="1:5" ht="12.75">
      <c r="A34" s="23" t="s">
        <v>635</v>
      </c>
      <c r="B34" s="4" t="s">
        <v>102</v>
      </c>
      <c r="C34" s="4" t="s">
        <v>605</v>
      </c>
      <c r="D34" s="4" t="s">
        <v>634</v>
      </c>
      <c r="E34" s="27" t="s">
        <v>633</v>
      </c>
    </row>
    <row r="36" spans="1:2" ht="14.25">
      <c r="A36" s="24"/>
      <c r="B36" s="25" t="s">
        <v>124</v>
      </c>
    </row>
    <row r="37" spans="1:5" ht="15">
      <c r="A37" s="26" t="s">
        <v>103</v>
      </c>
      <c r="B37" s="26" t="s">
        <v>104</v>
      </c>
      <c r="C37" s="26" t="s">
        <v>105</v>
      </c>
      <c r="D37" s="26" t="s">
        <v>106</v>
      </c>
      <c r="E37" s="26" t="s">
        <v>607</v>
      </c>
    </row>
    <row r="38" spans="1:5" ht="12.75">
      <c r="A38" s="23" t="s">
        <v>639</v>
      </c>
      <c r="B38" s="4" t="s">
        <v>184</v>
      </c>
      <c r="C38" s="4" t="s">
        <v>605</v>
      </c>
      <c r="D38" s="4" t="s">
        <v>634</v>
      </c>
      <c r="E38" s="27" t="s">
        <v>638</v>
      </c>
    </row>
    <row r="39" spans="1:5" ht="12.75">
      <c r="A39" s="23" t="s">
        <v>606</v>
      </c>
      <c r="B39" s="4" t="s">
        <v>125</v>
      </c>
      <c r="C39" s="4" t="s">
        <v>605</v>
      </c>
      <c r="D39" s="4" t="s">
        <v>637</v>
      </c>
      <c r="E39" s="27" t="s">
        <v>636</v>
      </c>
    </row>
    <row r="40" spans="1:5" ht="12.75">
      <c r="A40" s="23" t="s">
        <v>635</v>
      </c>
      <c r="B40" s="4" t="s">
        <v>248</v>
      </c>
      <c r="C40" s="4" t="s">
        <v>605</v>
      </c>
      <c r="D40" s="4" t="s">
        <v>634</v>
      </c>
      <c r="E40" s="27" t="s">
        <v>633</v>
      </c>
    </row>
  </sheetData>
  <sheetProtection/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671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670</v>
      </c>
      <c r="B6" s="7" t="s">
        <v>669</v>
      </c>
      <c r="C6" s="7" t="s">
        <v>668</v>
      </c>
      <c r="D6" s="7" t="str">
        <f>"1,0000"</f>
        <v>1,0000</v>
      </c>
      <c r="E6" s="7" t="s">
        <v>92</v>
      </c>
      <c r="F6" s="7" t="s">
        <v>93</v>
      </c>
      <c r="G6" s="8" t="s">
        <v>41</v>
      </c>
      <c r="H6" s="50" t="s">
        <v>667</v>
      </c>
      <c r="I6" s="7" t="str">
        <f>"3500,0"</f>
        <v>3500,0</v>
      </c>
      <c r="J6" s="8" t="str">
        <f>"35,0701"</f>
        <v>35,0701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102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666</v>
      </c>
      <c r="B20" s="4" t="s">
        <v>102</v>
      </c>
      <c r="C20" s="4" t="s">
        <v>605</v>
      </c>
      <c r="D20" s="4" t="s">
        <v>665</v>
      </c>
      <c r="E20" s="27" t="s">
        <v>664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679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678</v>
      </c>
      <c r="B6" s="7" t="s">
        <v>677</v>
      </c>
      <c r="C6" s="7" t="s">
        <v>676</v>
      </c>
      <c r="D6" s="7" t="str">
        <f>"1,0000"</f>
        <v>1,0000</v>
      </c>
      <c r="E6" s="7" t="s">
        <v>92</v>
      </c>
      <c r="F6" s="7" t="s">
        <v>93</v>
      </c>
      <c r="G6" s="8" t="s">
        <v>23</v>
      </c>
      <c r="H6" s="50" t="s">
        <v>675</v>
      </c>
      <c r="I6" s="7" t="str">
        <f>"3700,0"</f>
        <v>3700,0</v>
      </c>
      <c r="J6" s="8" t="str">
        <f>"41,4798"</f>
        <v>41,4798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102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674</v>
      </c>
      <c r="B20" s="4" t="s">
        <v>102</v>
      </c>
      <c r="C20" s="4" t="s">
        <v>605</v>
      </c>
      <c r="D20" s="4" t="s">
        <v>673</v>
      </c>
      <c r="E20" s="27" t="s">
        <v>672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8.25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693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11" t="s">
        <v>692</v>
      </c>
      <c r="B6" s="11" t="s">
        <v>691</v>
      </c>
      <c r="C6" s="11" t="s">
        <v>690</v>
      </c>
      <c r="D6" s="11" t="str">
        <f>"1,0000"</f>
        <v>1,0000</v>
      </c>
      <c r="E6" s="11" t="s">
        <v>92</v>
      </c>
      <c r="F6" s="11" t="s">
        <v>689</v>
      </c>
      <c r="G6" s="12" t="s">
        <v>272</v>
      </c>
      <c r="H6" s="54" t="s">
        <v>688</v>
      </c>
      <c r="I6" s="11" t="str">
        <f>"3975,0"</f>
        <v>3975,0</v>
      </c>
      <c r="J6" s="12" t="str">
        <f>"38,2947"</f>
        <v>38,2947</v>
      </c>
      <c r="K6" s="11" t="s">
        <v>30</v>
      </c>
    </row>
    <row r="7" spans="1:11" ht="12.75">
      <c r="A7" s="14" t="s">
        <v>687</v>
      </c>
      <c r="B7" s="14" t="s">
        <v>686</v>
      </c>
      <c r="C7" s="14" t="s">
        <v>352</v>
      </c>
      <c r="D7" s="14" t="str">
        <f>"1,0000"</f>
        <v>1,0000</v>
      </c>
      <c r="E7" s="14" t="s">
        <v>51</v>
      </c>
      <c r="F7" s="14" t="s">
        <v>455</v>
      </c>
      <c r="G7" s="15" t="s">
        <v>360</v>
      </c>
      <c r="H7" s="52" t="s">
        <v>657</v>
      </c>
      <c r="I7" s="14" t="str">
        <f>"3600,0"</f>
        <v>3600,0</v>
      </c>
      <c r="J7" s="15" t="str">
        <f>"37,8947"</f>
        <v>37,8947</v>
      </c>
      <c r="K7" s="14" t="s">
        <v>30</v>
      </c>
    </row>
    <row r="9" ht="15">
      <c r="E9" s="20" t="s">
        <v>95</v>
      </c>
    </row>
    <row r="10" ht="15">
      <c r="E10" s="20" t="s">
        <v>96</v>
      </c>
    </row>
    <row r="11" ht="15">
      <c r="E11" s="20" t="s">
        <v>97</v>
      </c>
    </row>
    <row r="12" ht="15">
      <c r="E12" s="20" t="s">
        <v>98</v>
      </c>
    </row>
    <row r="13" ht="15">
      <c r="E13" s="20" t="s">
        <v>98</v>
      </c>
    </row>
    <row r="14" ht="15">
      <c r="E14" s="20" t="s">
        <v>99</v>
      </c>
    </row>
    <row r="15" ht="15">
      <c r="E15" s="20"/>
    </row>
    <row r="17" spans="1:2" ht="18">
      <c r="A17" s="21" t="s">
        <v>100</v>
      </c>
      <c r="B17" s="21"/>
    </row>
    <row r="18" spans="1:2" ht="15">
      <c r="A18" s="22" t="s">
        <v>111</v>
      </c>
      <c r="B18" s="22"/>
    </row>
    <row r="19" spans="1:2" ht="14.25">
      <c r="A19" s="24"/>
      <c r="B19" s="25" t="s">
        <v>102</v>
      </c>
    </row>
    <row r="20" spans="1:5" ht="15">
      <c r="A20" s="26" t="s">
        <v>103</v>
      </c>
      <c r="B20" s="26" t="s">
        <v>104</v>
      </c>
      <c r="C20" s="26" t="s">
        <v>105</v>
      </c>
      <c r="D20" s="26" t="s">
        <v>106</v>
      </c>
      <c r="E20" s="26" t="s">
        <v>607</v>
      </c>
    </row>
    <row r="21" spans="1:5" ht="12.75">
      <c r="A21" s="23" t="s">
        <v>685</v>
      </c>
      <c r="B21" s="4" t="s">
        <v>102</v>
      </c>
      <c r="C21" s="4" t="s">
        <v>605</v>
      </c>
      <c r="D21" s="4" t="s">
        <v>684</v>
      </c>
      <c r="E21" s="27" t="s">
        <v>683</v>
      </c>
    </row>
    <row r="23" spans="1:2" ht="14.25">
      <c r="A23" s="24"/>
      <c r="B23" s="25" t="s">
        <v>124</v>
      </c>
    </row>
    <row r="24" spans="1:5" ht="15">
      <c r="A24" s="26" t="s">
        <v>103</v>
      </c>
      <c r="B24" s="26" t="s">
        <v>104</v>
      </c>
      <c r="C24" s="26" t="s">
        <v>105</v>
      </c>
      <c r="D24" s="26" t="s">
        <v>106</v>
      </c>
      <c r="E24" s="26" t="s">
        <v>607</v>
      </c>
    </row>
    <row r="25" spans="1:5" ht="12.75">
      <c r="A25" s="23" t="s">
        <v>682</v>
      </c>
      <c r="B25" s="4" t="s">
        <v>125</v>
      </c>
      <c r="C25" s="4" t="s">
        <v>605</v>
      </c>
      <c r="D25" s="4" t="s">
        <v>681</v>
      </c>
      <c r="E25" s="27" t="s">
        <v>680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49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705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11" t="s">
        <v>261</v>
      </c>
      <c r="B6" s="11" t="s">
        <v>262</v>
      </c>
      <c r="C6" s="11" t="s">
        <v>263</v>
      </c>
      <c r="D6" s="11" t="str">
        <f>"1,0000"</f>
        <v>1,0000</v>
      </c>
      <c r="E6" s="11" t="s">
        <v>92</v>
      </c>
      <c r="F6" s="11" t="s">
        <v>93</v>
      </c>
      <c r="G6" s="12" t="s">
        <v>24</v>
      </c>
      <c r="H6" s="54" t="s">
        <v>662</v>
      </c>
      <c r="I6" s="11" t="str">
        <f>"1925,0"</f>
        <v>1925,0</v>
      </c>
      <c r="J6" s="12" t="str">
        <f>"30,9983"</f>
        <v>30,9983</v>
      </c>
      <c r="K6" s="11" t="s">
        <v>30</v>
      </c>
    </row>
    <row r="7" spans="1:11" ht="12.75">
      <c r="A7" s="14" t="s">
        <v>704</v>
      </c>
      <c r="B7" s="14" t="s">
        <v>538</v>
      </c>
      <c r="C7" s="14" t="s">
        <v>539</v>
      </c>
      <c r="D7" s="14" t="str">
        <f>"1,0000"</f>
        <v>1,0000</v>
      </c>
      <c r="E7" s="14" t="s">
        <v>92</v>
      </c>
      <c r="F7" s="14" t="s">
        <v>93</v>
      </c>
      <c r="G7" s="15" t="s">
        <v>24</v>
      </c>
      <c r="H7" s="52" t="s">
        <v>703</v>
      </c>
      <c r="I7" s="14" t="str">
        <f>"1705,0"</f>
        <v>1705,0</v>
      </c>
      <c r="J7" s="15" t="str">
        <f>"26,5576"</f>
        <v>26,5576</v>
      </c>
      <c r="K7" s="14" t="s">
        <v>30</v>
      </c>
    </row>
    <row r="9" spans="1:10" ht="15">
      <c r="A9" s="58" t="s">
        <v>613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ht="12.75">
      <c r="A10" s="11" t="s">
        <v>701</v>
      </c>
      <c r="B10" s="11" t="s">
        <v>702</v>
      </c>
      <c r="C10" s="11" t="s">
        <v>699</v>
      </c>
      <c r="D10" s="11" t="str">
        <f>"1,0000"</f>
        <v>1,0000</v>
      </c>
      <c r="E10" s="11" t="s">
        <v>19</v>
      </c>
      <c r="F10" s="11" t="s">
        <v>215</v>
      </c>
      <c r="G10" s="12" t="s">
        <v>24</v>
      </c>
      <c r="H10" s="54" t="s">
        <v>140</v>
      </c>
      <c r="I10" s="11" t="str">
        <f>"14850,0"</f>
        <v>14850,0</v>
      </c>
      <c r="J10" s="12" t="str">
        <f>"157,4761"</f>
        <v>157,4761</v>
      </c>
      <c r="K10" s="11" t="s">
        <v>30</v>
      </c>
    </row>
    <row r="11" spans="1:11" ht="12.75">
      <c r="A11" s="17" t="s">
        <v>656</v>
      </c>
      <c r="B11" s="17" t="s">
        <v>655</v>
      </c>
      <c r="C11" s="17" t="s">
        <v>646</v>
      </c>
      <c r="D11" s="17" t="str">
        <f>"1,0000"</f>
        <v>1,0000</v>
      </c>
      <c r="E11" s="17" t="s">
        <v>19</v>
      </c>
      <c r="F11" s="17" t="s">
        <v>80</v>
      </c>
      <c r="G11" s="18" t="s">
        <v>24</v>
      </c>
      <c r="H11" s="53" t="s">
        <v>645</v>
      </c>
      <c r="I11" s="17" t="str">
        <f>"2365,0"</f>
        <v>2365,0</v>
      </c>
      <c r="J11" s="18" t="str">
        <f>"29,9367"</f>
        <v>29,9367</v>
      </c>
      <c r="K11" s="17" t="s">
        <v>30</v>
      </c>
    </row>
    <row r="12" spans="1:11" ht="12.75">
      <c r="A12" s="17" t="s">
        <v>701</v>
      </c>
      <c r="B12" s="17" t="s">
        <v>700</v>
      </c>
      <c r="C12" s="17" t="s">
        <v>699</v>
      </c>
      <c r="D12" s="17" t="str">
        <f>"1,0000"</f>
        <v>1,0000</v>
      </c>
      <c r="E12" s="17" t="s">
        <v>19</v>
      </c>
      <c r="F12" s="17" t="s">
        <v>215</v>
      </c>
      <c r="G12" s="18" t="s">
        <v>24</v>
      </c>
      <c r="H12" s="53" t="s">
        <v>140</v>
      </c>
      <c r="I12" s="17" t="str">
        <f>"14850,0"</f>
        <v>14850,0</v>
      </c>
      <c r="J12" s="18" t="str">
        <f>"157,4761"</f>
        <v>157,4761</v>
      </c>
      <c r="K12" s="17" t="s">
        <v>30</v>
      </c>
    </row>
    <row r="13" spans="1:11" ht="12.75">
      <c r="A13" s="14" t="s">
        <v>648</v>
      </c>
      <c r="B13" s="14" t="s">
        <v>647</v>
      </c>
      <c r="C13" s="14" t="s">
        <v>646</v>
      </c>
      <c r="D13" s="14" t="str">
        <f>"1,0000"</f>
        <v>1,0000</v>
      </c>
      <c r="E13" s="14" t="s">
        <v>19</v>
      </c>
      <c r="F13" s="14" t="s">
        <v>80</v>
      </c>
      <c r="G13" s="15" t="s">
        <v>24</v>
      </c>
      <c r="H13" s="52" t="s">
        <v>645</v>
      </c>
      <c r="I13" s="14" t="str">
        <f>"2365,0"</f>
        <v>2365,0</v>
      </c>
      <c r="J13" s="15" t="str">
        <f>"29,9367"</f>
        <v>29,9367</v>
      </c>
      <c r="K13" s="14" t="s">
        <v>30</v>
      </c>
    </row>
    <row r="15" ht="15">
      <c r="E15" s="20" t="s">
        <v>95</v>
      </c>
    </row>
    <row r="16" ht="15">
      <c r="E16" s="20" t="s">
        <v>96</v>
      </c>
    </row>
    <row r="17" ht="15">
      <c r="E17" s="20" t="s">
        <v>97</v>
      </c>
    </row>
    <row r="18" ht="15">
      <c r="E18" s="20" t="s">
        <v>98</v>
      </c>
    </row>
    <row r="19" ht="15">
      <c r="E19" s="20" t="s">
        <v>98</v>
      </c>
    </row>
    <row r="20" ht="15">
      <c r="E20" s="20" t="s">
        <v>99</v>
      </c>
    </row>
    <row r="21" ht="15">
      <c r="E21" s="20"/>
    </row>
    <row r="23" spans="1:2" ht="18">
      <c r="A23" s="21" t="s">
        <v>100</v>
      </c>
      <c r="B23" s="21"/>
    </row>
    <row r="24" spans="1:2" ht="15">
      <c r="A24" s="22" t="s">
        <v>101</v>
      </c>
      <c r="B24" s="22"/>
    </row>
    <row r="25" spans="1:2" ht="14.25">
      <c r="A25" s="24"/>
      <c r="B25" s="25" t="s">
        <v>102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607</v>
      </c>
    </row>
    <row r="27" spans="1:5" ht="12.75">
      <c r="A27" s="23" t="s">
        <v>260</v>
      </c>
      <c r="B27" s="4" t="s">
        <v>102</v>
      </c>
      <c r="C27" s="4" t="s">
        <v>605</v>
      </c>
      <c r="D27" s="4" t="s">
        <v>644</v>
      </c>
      <c r="E27" s="27" t="s">
        <v>643</v>
      </c>
    </row>
    <row r="28" spans="1:5" ht="12.75">
      <c r="A28" s="23" t="s">
        <v>536</v>
      </c>
      <c r="B28" s="4" t="s">
        <v>102</v>
      </c>
      <c r="C28" s="4" t="s">
        <v>605</v>
      </c>
      <c r="D28" s="4" t="s">
        <v>698</v>
      </c>
      <c r="E28" s="27" t="s">
        <v>697</v>
      </c>
    </row>
    <row r="31" spans="1:2" ht="15">
      <c r="A31" s="22" t="s">
        <v>111</v>
      </c>
      <c r="B31" s="22"/>
    </row>
    <row r="32" spans="1:2" ht="14.25">
      <c r="A32" s="24"/>
      <c r="B32" s="25" t="s">
        <v>102</v>
      </c>
    </row>
    <row r="33" spans="1:5" ht="15">
      <c r="A33" s="26" t="s">
        <v>103</v>
      </c>
      <c r="B33" s="26" t="s">
        <v>104</v>
      </c>
      <c r="C33" s="26" t="s">
        <v>105</v>
      </c>
      <c r="D33" s="26" t="s">
        <v>106</v>
      </c>
      <c r="E33" s="26" t="s">
        <v>607</v>
      </c>
    </row>
    <row r="34" spans="1:5" ht="12.75">
      <c r="A34" s="23" t="s">
        <v>696</v>
      </c>
      <c r="B34" s="4" t="s">
        <v>102</v>
      </c>
      <c r="C34" s="4" t="s">
        <v>605</v>
      </c>
      <c r="D34" s="4" t="s">
        <v>695</v>
      </c>
      <c r="E34" s="27" t="s">
        <v>694</v>
      </c>
    </row>
    <row r="35" spans="1:5" ht="12.75">
      <c r="A35" s="23" t="s">
        <v>635</v>
      </c>
      <c r="B35" s="4" t="s">
        <v>102</v>
      </c>
      <c r="C35" s="4" t="s">
        <v>605</v>
      </c>
      <c r="D35" s="4" t="s">
        <v>634</v>
      </c>
      <c r="E35" s="27" t="s">
        <v>633</v>
      </c>
    </row>
    <row r="37" spans="1:2" ht="14.25">
      <c r="A37" s="24"/>
      <c r="B37" s="25" t="s">
        <v>124</v>
      </c>
    </row>
    <row r="38" spans="1:5" ht="15">
      <c r="A38" s="26" t="s">
        <v>103</v>
      </c>
      <c r="B38" s="26" t="s">
        <v>104</v>
      </c>
      <c r="C38" s="26" t="s">
        <v>105</v>
      </c>
      <c r="D38" s="26" t="s">
        <v>106</v>
      </c>
      <c r="E38" s="26" t="s">
        <v>607</v>
      </c>
    </row>
    <row r="39" spans="1:5" ht="12.75">
      <c r="A39" s="23" t="s">
        <v>696</v>
      </c>
      <c r="B39" s="4" t="s">
        <v>125</v>
      </c>
      <c r="C39" s="4" t="s">
        <v>605</v>
      </c>
      <c r="D39" s="4" t="s">
        <v>695</v>
      </c>
      <c r="E39" s="27" t="s">
        <v>694</v>
      </c>
    </row>
    <row r="40" spans="1:5" ht="12.75">
      <c r="A40" s="23" t="s">
        <v>635</v>
      </c>
      <c r="B40" s="4" t="s">
        <v>248</v>
      </c>
      <c r="C40" s="4" t="s">
        <v>605</v>
      </c>
      <c r="D40" s="4" t="s">
        <v>634</v>
      </c>
      <c r="E40" s="27" t="s">
        <v>633</v>
      </c>
    </row>
  </sheetData>
  <sheetProtection/>
  <mergeCells count="13"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5.625" style="49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712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618</v>
      </c>
      <c r="E3" s="69" t="s">
        <v>4</v>
      </c>
      <c r="F3" s="69" t="s">
        <v>8</v>
      </c>
      <c r="G3" s="69" t="s">
        <v>623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613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711</v>
      </c>
      <c r="B6" s="7" t="s">
        <v>710</v>
      </c>
      <c r="C6" s="7" t="s">
        <v>709</v>
      </c>
      <c r="D6" s="7" t="str">
        <f>"1,0000"</f>
        <v>1,0000</v>
      </c>
      <c r="E6" s="7" t="s">
        <v>51</v>
      </c>
      <c r="F6" s="7" t="s">
        <v>93</v>
      </c>
      <c r="G6" s="8" t="s">
        <v>284</v>
      </c>
      <c r="H6" s="50" t="s">
        <v>38</v>
      </c>
      <c r="I6" s="7" t="str">
        <f>"5950,0"</f>
        <v>5950,0</v>
      </c>
      <c r="J6" s="8" t="str">
        <f>"109,1743"</f>
        <v>109,1743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101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607</v>
      </c>
    </row>
    <row r="20" spans="1:5" ht="12.75">
      <c r="A20" s="23" t="s">
        <v>708</v>
      </c>
      <c r="B20" s="4" t="s">
        <v>125</v>
      </c>
      <c r="C20" s="4" t="s">
        <v>605</v>
      </c>
      <c r="D20" s="4" t="s">
        <v>707</v>
      </c>
      <c r="E20" s="27" t="s">
        <v>706</v>
      </c>
    </row>
  </sheetData>
  <sheetProtection/>
  <mergeCells count="12"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4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720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719</v>
      </c>
      <c r="E3" s="69" t="s">
        <v>4</v>
      </c>
      <c r="F3" s="69" t="s">
        <v>8</v>
      </c>
      <c r="G3" s="69" t="s">
        <v>718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87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198</v>
      </c>
      <c r="B6" s="7" t="s">
        <v>199</v>
      </c>
      <c r="C6" s="7" t="s">
        <v>200</v>
      </c>
      <c r="D6" s="7" t="str">
        <f>"0,7383"</f>
        <v>0,7383</v>
      </c>
      <c r="E6" s="7" t="s">
        <v>19</v>
      </c>
      <c r="F6" s="7" t="s">
        <v>80</v>
      </c>
      <c r="G6" s="8" t="s">
        <v>717</v>
      </c>
      <c r="H6" s="50" t="s">
        <v>716</v>
      </c>
      <c r="I6" s="7" t="str">
        <f>"2520,0"</f>
        <v>2520,0</v>
      </c>
      <c r="J6" s="8" t="str">
        <f>"1860,5161"</f>
        <v>1860,5161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715</v>
      </c>
    </row>
    <row r="20" spans="1:5" ht="12.75">
      <c r="A20" s="23" t="s">
        <v>197</v>
      </c>
      <c r="B20" s="4" t="s">
        <v>224</v>
      </c>
      <c r="C20" s="4" t="s">
        <v>126</v>
      </c>
      <c r="D20" s="4" t="s">
        <v>714</v>
      </c>
      <c r="E20" s="27" t="s">
        <v>713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9" sqref="A9:F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40.1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742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719</v>
      </c>
      <c r="E3" s="69" t="s">
        <v>4</v>
      </c>
      <c r="F3" s="69" t="s">
        <v>8</v>
      </c>
      <c r="G3" s="69" t="s">
        <v>718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261</v>
      </c>
      <c r="B6" s="7" t="s">
        <v>262</v>
      </c>
      <c r="C6" s="7" t="s">
        <v>741</v>
      </c>
      <c r="D6" s="7" t="str">
        <f>"0,9436"</f>
        <v>0,9436</v>
      </c>
      <c r="E6" s="7" t="s">
        <v>92</v>
      </c>
      <c r="F6" s="7" t="s">
        <v>93</v>
      </c>
      <c r="G6" s="8" t="s">
        <v>26</v>
      </c>
      <c r="H6" s="50" t="s">
        <v>622</v>
      </c>
      <c r="I6" s="7" t="str">
        <f>"1562,5"</f>
        <v>1562,5</v>
      </c>
      <c r="J6" s="8" t="str">
        <f>"1474,3750"</f>
        <v>1474,3750</v>
      </c>
      <c r="K6" s="7" t="s">
        <v>30</v>
      </c>
    </row>
    <row r="8" spans="1:10" ht="15">
      <c r="A8" s="58" t="s">
        <v>56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2.75">
      <c r="A9" s="11" t="s">
        <v>740</v>
      </c>
      <c r="B9" s="11" t="s">
        <v>739</v>
      </c>
      <c r="C9" s="11" t="s">
        <v>301</v>
      </c>
      <c r="D9" s="11" t="str">
        <f>"0,7610"</f>
        <v>0,7610</v>
      </c>
      <c r="E9" s="11" t="s">
        <v>51</v>
      </c>
      <c r="F9" s="11" t="s">
        <v>738</v>
      </c>
      <c r="G9" s="12" t="s">
        <v>737</v>
      </c>
      <c r="H9" s="54" t="s">
        <v>736</v>
      </c>
      <c r="I9" s="11" t="str">
        <f>"3795,0"</f>
        <v>3795,0</v>
      </c>
      <c r="J9" s="12" t="str">
        <f>"2887,9949"</f>
        <v>2887,9949</v>
      </c>
      <c r="K9" s="11" t="s">
        <v>30</v>
      </c>
    </row>
    <row r="10" spans="1:11" ht="12.75">
      <c r="A10" s="17" t="s">
        <v>656</v>
      </c>
      <c r="B10" s="17" t="s">
        <v>655</v>
      </c>
      <c r="C10" s="17" t="s">
        <v>646</v>
      </c>
      <c r="D10" s="17" t="str">
        <f>"0,7899"</f>
        <v>0,7899</v>
      </c>
      <c r="E10" s="17" t="s">
        <v>19</v>
      </c>
      <c r="F10" s="17" t="s">
        <v>80</v>
      </c>
      <c r="G10" s="18" t="s">
        <v>431</v>
      </c>
      <c r="H10" s="53" t="s">
        <v>735</v>
      </c>
      <c r="I10" s="17" t="str">
        <f>"1200,0"</f>
        <v>1200,0</v>
      </c>
      <c r="J10" s="18" t="str">
        <f>"947,8800"</f>
        <v>947,8800</v>
      </c>
      <c r="K10" s="17" t="s">
        <v>30</v>
      </c>
    </row>
    <row r="11" spans="1:11" ht="12.75">
      <c r="A11" s="14" t="s">
        <v>648</v>
      </c>
      <c r="B11" s="14" t="s">
        <v>647</v>
      </c>
      <c r="C11" s="14" t="s">
        <v>646</v>
      </c>
      <c r="D11" s="14" t="str">
        <f>"0,7899"</f>
        <v>0,7899</v>
      </c>
      <c r="E11" s="14" t="s">
        <v>19</v>
      </c>
      <c r="F11" s="14" t="s">
        <v>80</v>
      </c>
      <c r="G11" s="15" t="s">
        <v>431</v>
      </c>
      <c r="H11" s="52" t="s">
        <v>735</v>
      </c>
      <c r="I11" s="14" t="str">
        <f>"1200,0"</f>
        <v>1200,0</v>
      </c>
      <c r="J11" s="15" t="str">
        <f>"947,8800"</f>
        <v>947,8800</v>
      </c>
      <c r="K11" s="14" t="s">
        <v>30</v>
      </c>
    </row>
    <row r="13" spans="1:10" ht="15">
      <c r="A13" s="58" t="s">
        <v>87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1" ht="12.75">
      <c r="A14" s="7" t="s">
        <v>678</v>
      </c>
      <c r="B14" s="7" t="s">
        <v>677</v>
      </c>
      <c r="C14" s="7" t="s">
        <v>676</v>
      </c>
      <c r="D14" s="7" t="str">
        <f>"0,7201"</f>
        <v>0,7201</v>
      </c>
      <c r="E14" s="7" t="s">
        <v>92</v>
      </c>
      <c r="F14" s="7" t="s">
        <v>93</v>
      </c>
      <c r="G14" s="8" t="s">
        <v>22</v>
      </c>
      <c r="H14" s="50" t="s">
        <v>645</v>
      </c>
      <c r="I14" s="7" t="str">
        <f>"3870,0"</f>
        <v>3870,0</v>
      </c>
      <c r="J14" s="8" t="str">
        <f>"2786,7869"</f>
        <v>2786,7869</v>
      </c>
      <c r="K14" s="7" t="s">
        <v>30</v>
      </c>
    </row>
    <row r="16" spans="1:10" ht="15">
      <c r="A16" s="58" t="s">
        <v>133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1" ht="12.75">
      <c r="A17" s="7" t="s">
        <v>670</v>
      </c>
      <c r="B17" s="7" t="s">
        <v>669</v>
      </c>
      <c r="C17" s="7" t="s">
        <v>668</v>
      </c>
      <c r="D17" s="7" t="str">
        <f>"0,6631"</f>
        <v>0,6631</v>
      </c>
      <c r="E17" s="7" t="s">
        <v>92</v>
      </c>
      <c r="F17" s="7" t="s">
        <v>93</v>
      </c>
      <c r="G17" s="8" t="s">
        <v>23</v>
      </c>
      <c r="H17" s="50" t="s">
        <v>657</v>
      </c>
      <c r="I17" s="7" t="str">
        <f>"4800,0"</f>
        <v>4800,0</v>
      </c>
      <c r="J17" s="8" t="str">
        <f>"3182,8800"</f>
        <v>3182,8800</v>
      </c>
      <c r="K17" s="7" t="s">
        <v>30</v>
      </c>
    </row>
    <row r="19" spans="1:10" ht="15">
      <c r="A19" s="58" t="s">
        <v>155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1:11" ht="12.75">
      <c r="A20" s="7" t="s">
        <v>692</v>
      </c>
      <c r="B20" s="7" t="s">
        <v>691</v>
      </c>
      <c r="C20" s="7" t="s">
        <v>690</v>
      </c>
      <c r="D20" s="7" t="str">
        <f>"0,6787"</f>
        <v>0,6787</v>
      </c>
      <c r="E20" s="7" t="s">
        <v>92</v>
      </c>
      <c r="F20" s="7" t="s">
        <v>689</v>
      </c>
      <c r="G20" s="8" t="s">
        <v>278</v>
      </c>
      <c r="H20" s="50" t="s">
        <v>734</v>
      </c>
      <c r="I20" s="7" t="str">
        <f>"4305,0"</f>
        <v>4305,0</v>
      </c>
      <c r="J20" s="8" t="str">
        <f>"2921,8034"</f>
        <v>2921,8034</v>
      </c>
      <c r="K20" s="7" t="s">
        <v>30</v>
      </c>
    </row>
    <row r="22" ht="15">
      <c r="E22" s="20" t="s">
        <v>95</v>
      </c>
    </row>
    <row r="23" ht="15">
      <c r="E23" s="20" t="s">
        <v>96</v>
      </c>
    </row>
    <row r="24" ht="15">
      <c r="E24" s="20" t="s">
        <v>97</v>
      </c>
    </row>
    <row r="25" ht="15">
      <c r="E25" s="20" t="s">
        <v>98</v>
      </c>
    </row>
    <row r="26" ht="15">
      <c r="E26" s="20" t="s">
        <v>98</v>
      </c>
    </row>
    <row r="27" ht="15">
      <c r="E27" s="20" t="s">
        <v>99</v>
      </c>
    </row>
    <row r="28" ht="15">
      <c r="E28" s="20"/>
    </row>
    <row r="30" spans="1:2" ht="18">
      <c r="A30" s="21" t="s">
        <v>100</v>
      </c>
      <c r="B30" s="21"/>
    </row>
    <row r="31" spans="1:2" ht="15">
      <c r="A31" s="22" t="s">
        <v>101</v>
      </c>
      <c r="B31" s="22"/>
    </row>
    <row r="32" spans="1:2" ht="14.25">
      <c r="A32" s="24"/>
      <c r="B32" s="25" t="s">
        <v>102</v>
      </c>
    </row>
    <row r="33" spans="1:5" ht="15">
      <c r="A33" s="26" t="s">
        <v>103</v>
      </c>
      <c r="B33" s="26" t="s">
        <v>104</v>
      </c>
      <c r="C33" s="26" t="s">
        <v>105</v>
      </c>
      <c r="D33" s="26" t="s">
        <v>106</v>
      </c>
      <c r="E33" s="26" t="s">
        <v>715</v>
      </c>
    </row>
    <row r="34" spans="1:5" ht="12.75">
      <c r="A34" s="23" t="s">
        <v>260</v>
      </c>
      <c r="B34" s="4" t="s">
        <v>102</v>
      </c>
      <c r="C34" s="4" t="s">
        <v>119</v>
      </c>
      <c r="D34" s="4" t="s">
        <v>733</v>
      </c>
      <c r="E34" s="27" t="s">
        <v>732</v>
      </c>
    </row>
    <row r="37" spans="1:2" ht="15">
      <c r="A37" s="22" t="s">
        <v>111</v>
      </c>
      <c r="B37" s="22"/>
    </row>
    <row r="38" spans="1:2" ht="14.25">
      <c r="A38" s="24"/>
      <c r="B38" s="25" t="s">
        <v>102</v>
      </c>
    </row>
    <row r="39" spans="1:5" ht="15">
      <c r="A39" s="26" t="s">
        <v>103</v>
      </c>
      <c r="B39" s="26" t="s">
        <v>104</v>
      </c>
      <c r="C39" s="26" t="s">
        <v>105</v>
      </c>
      <c r="D39" s="26" t="s">
        <v>106</v>
      </c>
      <c r="E39" s="26" t="s">
        <v>715</v>
      </c>
    </row>
    <row r="40" spans="1:5" ht="12.75">
      <c r="A40" s="23" t="s">
        <v>666</v>
      </c>
      <c r="B40" s="4" t="s">
        <v>102</v>
      </c>
      <c r="C40" s="4" t="s">
        <v>175</v>
      </c>
      <c r="D40" s="4" t="s">
        <v>731</v>
      </c>
      <c r="E40" s="27" t="s">
        <v>730</v>
      </c>
    </row>
    <row r="41" spans="1:5" ht="12.75">
      <c r="A41" s="23" t="s">
        <v>685</v>
      </c>
      <c r="B41" s="4" t="s">
        <v>102</v>
      </c>
      <c r="C41" s="4" t="s">
        <v>181</v>
      </c>
      <c r="D41" s="4" t="s">
        <v>729</v>
      </c>
      <c r="E41" s="27" t="s">
        <v>728</v>
      </c>
    </row>
    <row r="42" spans="1:5" ht="12.75">
      <c r="A42" s="23" t="s">
        <v>727</v>
      </c>
      <c r="B42" s="4" t="s">
        <v>102</v>
      </c>
      <c r="C42" s="4" t="s">
        <v>114</v>
      </c>
      <c r="D42" s="4" t="s">
        <v>726</v>
      </c>
      <c r="E42" s="27" t="s">
        <v>725</v>
      </c>
    </row>
    <row r="43" spans="1:5" ht="12.75">
      <c r="A43" s="23" t="s">
        <v>674</v>
      </c>
      <c r="B43" s="4" t="s">
        <v>102</v>
      </c>
      <c r="C43" s="4" t="s">
        <v>126</v>
      </c>
      <c r="D43" s="4" t="s">
        <v>724</v>
      </c>
      <c r="E43" s="27" t="s">
        <v>723</v>
      </c>
    </row>
    <row r="44" spans="1:5" ht="12.75">
      <c r="A44" s="23" t="s">
        <v>635</v>
      </c>
      <c r="B44" s="4" t="s">
        <v>102</v>
      </c>
      <c r="C44" s="4" t="s">
        <v>114</v>
      </c>
      <c r="D44" s="4" t="s">
        <v>722</v>
      </c>
      <c r="E44" s="27" t="s">
        <v>721</v>
      </c>
    </row>
    <row r="46" spans="1:2" ht="14.25">
      <c r="A46" s="24"/>
      <c r="B46" s="25" t="s">
        <v>124</v>
      </c>
    </row>
    <row r="47" spans="1:5" ht="15">
      <c r="A47" s="26" t="s">
        <v>103</v>
      </c>
      <c r="B47" s="26" t="s">
        <v>104</v>
      </c>
      <c r="C47" s="26" t="s">
        <v>105</v>
      </c>
      <c r="D47" s="26" t="s">
        <v>106</v>
      </c>
      <c r="E47" s="26" t="s">
        <v>715</v>
      </c>
    </row>
    <row r="48" spans="1:5" ht="12.75">
      <c r="A48" s="23" t="s">
        <v>635</v>
      </c>
      <c r="B48" s="4" t="s">
        <v>248</v>
      </c>
      <c r="C48" s="4" t="s">
        <v>114</v>
      </c>
      <c r="D48" s="4" t="s">
        <v>722</v>
      </c>
      <c r="E48" s="27" t="s">
        <v>721</v>
      </c>
    </row>
  </sheetData>
  <sheetProtection/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A16:J16"/>
    <mergeCell ref="A19:J19"/>
    <mergeCell ref="I3:I4"/>
    <mergeCell ref="J3:J4"/>
    <mergeCell ref="K3:K4"/>
    <mergeCell ref="A5:J5"/>
    <mergeCell ref="A8:J8"/>
    <mergeCell ref="A13:J1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4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743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719</v>
      </c>
      <c r="E3" s="69" t="s">
        <v>4</v>
      </c>
      <c r="F3" s="69" t="s">
        <v>8</v>
      </c>
      <c r="G3" s="69" t="s">
        <v>718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87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198</v>
      </c>
      <c r="B6" s="7" t="s">
        <v>199</v>
      </c>
      <c r="C6" s="7" t="s">
        <v>200</v>
      </c>
      <c r="D6" s="7" t="str">
        <f>"0,7383"</f>
        <v>0,7383</v>
      </c>
      <c r="E6" s="7" t="s">
        <v>19</v>
      </c>
      <c r="F6" s="7" t="s">
        <v>80</v>
      </c>
      <c r="G6" s="8" t="s">
        <v>717</v>
      </c>
      <c r="H6" s="50" t="s">
        <v>716</v>
      </c>
      <c r="I6" s="7" t="str">
        <f>"2520,0"</f>
        <v>2520,0</v>
      </c>
      <c r="J6" s="8" t="str">
        <f>"1860,5161"</f>
        <v>1860,5161</v>
      </c>
      <c r="K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715</v>
      </c>
    </row>
    <row r="20" spans="1:5" ht="12.75">
      <c r="A20" s="23" t="s">
        <v>197</v>
      </c>
      <c r="B20" s="4" t="s">
        <v>224</v>
      </c>
      <c r="C20" s="4" t="s">
        <v>126</v>
      </c>
      <c r="D20" s="4" t="s">
        <v>714</v>
      </c>
      <c r="E20" s="27" t="s">
        <v>713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1.00390625" style="4" bestFit="1" customWidth="1"/>
    <col min="7" max="7" width="5.625" style="3" bestFit="1" customWidth="1"/>
    <col min="8" max="8" width="4.625" style="4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9" t="s">
        <v>771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s="1" customFormat="1" ht="12.75" customHeight="1">
      <c r="A3" s="65" t="s">
        <v>0</v>
      </c>
      <c r="B3" s="67" t="s">
        <v>6</v>
      </c>
      <c r="C3" s="67" t="s">
        <v>7</v>
      </c>
      <c r="D3" s="69" t="s">
        <v>719</v>
      </c>
      <c r="E3" s="69" t="s">
        <v>4</v>
      </c>
      <c r="F3" s="69" t="s">
        <v>8</v>
      </c>
      <c r="G3" s="69" t="s">
        <v>718</v>
      </c>
      <c r="H3" s="69"/>
      <c r="I3" s="69" t="s">
        <v>616</v>
      </c>
      <c r="J3" s="69" t="s">
        <v>3</v>
      </c>
      <c r="K3" s="70" t="s">
        <v>2</v>
      </c>
    </row>
    <row r="4" spans="1:11" s="1" customFormat="1" ht="21" customHeight="1" thickBot="1">
      <c r="A4" s="66"/>
      <c r="B4" s="68"/>
      <c r="C4" s="68"/>
      <c r="D4" s="68"/>
      <c r="E4" s="68"/>
      <c r="F4" s="68"/>
      <c r="G4" s="6" t="s">
        <v>615</v>
      </c>
      <c r="H4" s="51" t="s">
        <v>614</v>
      </c>
      <c r="I4" s="68"/>
      <c r="J4" s="68"/>
      <c r="K4" s="71"/>
    </row>
    <row r="5" spans="1:10" ht="1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7" t="s">
        <v>261</v>
      </c>
      <c r="B6" s="7" t="s">
        <v>262</v>
      </c>
      <c r="C6" s="7" t="s">
        <v>263</v>
      </c>
      <c r="D6" s="7" t="str">
        <f>"0,9300"</f>
        <v>0,9300</v>
      </c>
      <c r="E6" s="7" t="s">
        <v>92</v>
      </c>
      <c r="F6" s="7" t="s">
        <v>93</v>
      </c>
      <c r="G6" s="8" t="s">
        <v>26</v>
      </c>
      <c r="H6" s="50" t="s">
        <v>622</v>
      </c>
      <c r="I6" s="7" t="str">
        <f>"1562,5"</f>
        <v>1562,5</v>
      </c>
      <c r="J6" s="8" t="str">
        <f>"1453,1250"</f>
        <v>1453,1250</v>
      </c>
      <c r="K6" s="7" t="s">
        <v>30</v>
      </c>
    </row>
    <row r="8" spans="1:10" ht="15">
      <c r="A8" s="58" t="s">
        <v>188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2.75">
      <c r="A9" s="11" t="s">
        <v>770</v>
      </c>
      <c r="B9" s="11" t="s">
        <v>769</v>
      </c>
      <c r="C9" s="11" t="s">
        <v>768</v>
      </c>
      <c r="D9" s="11" t="str">
        <f>"0,7977"</f>
        <v>0,7977</v>
      </c>
      <c r="E9" s="11" t="s">
        <v>51</v>
      </c>
      <c r="F9" s="11" t="s">
        <v>93</v>
      </c>
      <c r="G9" s="12" t="s">
        <v>360</v>
      </c>
      <c r="H9" s="54" t="s">
        <v>717</v>
      </c>
      <c r="I9" s="11" t="str">
        <f>"3375,0"</f>
        <v>3375,0</v>
      </c>
      <c r="J9" s="12" t="str">
        <f>"2692,2375"</f>
        <v>2692,2375</v>
      </c>
      <c r="K9" s="11" t="s">
        <v>30</v>
      </c>
    </row>
    <row r="10" spans="1:11" ht="12.75">
      <c r="A10" s="14" t="s">
        <v>767</v>
      </c>
      <c r="B10" s="14" t="s">
        <v>766</v>
      </c>
      <c r="C10" s="14" t="s">
        <v>765</v>
      </c>
      <c r="D10" s="14" t="str">
        <f>"0,8469"</f>
        <v>0,8469</v>
      </c>
      <c r="E10" s="14" t="s">
        <v>19</v>
      </c>
      <c r="F10" s="14" t="s">
        <v>764</v>
      </c>
      <c r="G10" s="15" t="s">
        <v>596</v>
      </c>
      <c r="H10" s="52" t="s">
        <v>667</v>
      </c>
      <c r="I10" s="14" t="str">
        <f>"1960,0"</f>
        <v>1960,0</v>
      </c>
      <c r="J10" s="15" t="str">
        <f>"1659,9240"</f>
        <v>1659,9240</v>
      </c>
      <c r="K10" s="14" t="s">
        <v>30</v>
      </c>
    </row>
    <row r="12" spans="1:10" ht="15">
      <c r="A12" s="58" t="s">
        <v>56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1" ht="12.75">
      <c r="A13" s="11" t="s">
        <v>763</v>
      </c>
      <c r="B13" s="11" t="s">
        <v>314</v>
      </c>
      <c r="C13" s="11" t="s">
        <v>315</v>
      </c>
      <c r="D13" s="11" t="str">
        <f>"0,7600"</f>
        <v>0,7600</v>
      </c>
      <c r="E13" s="11" t="s">
        <v>51</v>
      </c>
      <c r="F13" s="11" t="s">
        <v>93</v>
      </c>
      <c r="G13" s="12" t="s">
        <v>273</v>
      </c>
      <c r="H13" s="54" t="s">
        <v>759</v>
      </c>
      <c r="I13" s="11" t="str">
        <f>"2475,0"</f>
        <v>2475,0</v>
      </c>
      <c r="J13" s="12" t="str">
        <f>"1881,0000"</f>
        <v>1881,0000</v>
      </c>
      <c r="K13" s="11" t="s">
        <v>30</v>
      </c>
    </row>
    <row r="14" spans="1:11" ht="12.75">
      <c r="A14" s="17" t="s">
        <v>656</v>
      </c>
      <c r="B14" s="17" t="s">
        <v>655</v>
      </c>
      <c r="C14" s="17" t="s">
        <v>646</v>
      </c>
      <c r="D14" s="17" t="str">
        <f>"0,7899"</f>
        <v>0,7899</v>
      </c>
      <c r="E14" s="17" t="s">
        <v>19</v>
      </c>
      <c r="F14" s="17" t="s">
        <v>80</v>
      </c>
      <c r="G14" s="18" t="s">
        <v>431</v>
      </c>
      <c r="H14" s="53" t="s">
        <v>735</v>
      </c>
      <c r="I14" s="17" t="str">
        <f>"1200,0"</f>
        <v>1200,0</v>
      </c>
      <c r="J14" s="18" t="str">
        <f>"947,8800"</f>
        <v>947,8800</v>
      </c>
      <c r="K14" s="17" t="s">
        <v>30</v>
      </c>
    </row>
    <row r="15" spans="1:11" ht="12.75">
      <c r="A15" s="14" t="s">
        <v>648</v>
      </c>
      <c r="B15" s="14" t="s">
        <v>647</v>
      </c>
      <c r="C15" s="14" t="s">
        <v>646</v>
      </c>
      <c r="D15" s="14" t="str">
        <f>"0,7899"</f>
        <v>0,7899</v>
      </c>
      <c r="E15" s="14" t="s">
        <v>19</v>
      </c>
      <c r="F15" s="14" t="s">
        <v>80</v>
      </c>
      <c r="G15" s="15" t="s">
        <v>431</v>
      </c>
      <c r="H15" s="52" t="s">
        <v>735</v>
      </c>
      <c r="I15" s="14" t="str">
        <f>"1200,0"</f>
        <v>1200,0</v>
      </c>
      <c r="J15" s="15" t="str">
        <f>"947,8800"</f>
        <v>947,8800</v>
      </c>
      <c r="K15" s="14" t="s">
        <v>30</v>
      </c>
    </row>
    <row r="17" spans="1:10" ht="15">
      <c r="A17" s="58" t="s">
        <v>87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1" ht="12.75">
      <c r="A18" s="7" t="s">
        <v>762</v>
      </c>
      <c r="B18" s="7" t="s">
        <v>761</v>
      </c>
      <c r="C18" s="7" t="s">
        <v>760</v>
      </c>
      <c r="D18" s="7" t="str">
        <f>"0,7557"</f>
        <v>0,7557</v>
      </c>
      <c r="E18" s="7" t="s">
        <v>36</v>
      </c>
      <c r="F18" s="7" t="s">
        <v>37</v>
      </c>
      <c r="G18" s="8" t="s">
        <v>21</v>
      </c>
      <c r="H18" s="50" t="s">
        <v>759</v>
      </c>
      <c r="I18" s="7" t="str">
        <f>"2550,0"</f>
        <v>2550,0</v>
      </c>
      <c r="J18" s="8" t="str">
        <f>"1927,0350"</f>
        <v>1927,0350</v>
      </c>
      <c r="K18" s="7" t="s">
        <v>30</v>
      </c>
    </row>
    <row r="20" spans="1:10" ht="15">
      <c r="A20" s="58" t="s">
        <v>162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1" ht="12.75">
      <c r="A21" s="11" t="s">
        <v>212</v>
      </c>
      <c r="B21" s="11" t="s">
        <v>213</v>
      </c>
      <c r="C21" s="11" t="s">
        <v>214</v>
      </c>
      <c r="D21" s="11" t="str">
        <f>"0,6667"</f>
        <v>0,6667</v>
      </c>
      <c r="E21" s="11" t="s">
        <v>19</v>
      </c>
      <c r="F21" s="11" t="s">
        <v>215</v>
      </c>
      <c r="G21" s="12" t="s">
        <v>28</v>
      </c>
      <c r="H21" s="54" t="s">
        <v>758</v>
      </c>
      <c r="I21" s="11" t="str">
        <f>"1880,0"</f>
        <v>1880,0</v>
      </c>
      <c r="J21" s="12" t="str">
        <f>"1253,3960"</f>
        <v>1253,3960</v>
      </c>
      <c r="K21" s="11" t="s">
        <v>30</v>
      </c>
    </row>
    <row r="22" spans="1:11" ht="12.75">
      <c r="A22" s="14" t="s">
        <v>217</v>
      </c>
      <c r="B22" s="14" t="s">
        <v>218</v>
      </c>
      <c r="C22" s="14" t="s">
        <v>219</v>
      </c>
      <c r="D22" s="14" t="str">
        <f>"0,6724"</f>
        <v>0,6724</v>
      </c>
      <c r="E22" s="14" t="s">
        <v>92</v>
      </c>
      <c r="F22" s="14" t="s">
        <v>93</v>
      </c>
      <c r="G22" s="16" t="s">
        <v>28</v>
      </c>
      <c r="H22" s="55"/>
      <c r="I22" s="14" t="str">
        <f>"0.00"</f>
        <v>0.00</v>
      </c>
      <c r="J22" s="15" t="str">
        <f>"0,0000"</f>
        <v>0,0000</v>
      </c>
      <c r="K22" s="14" t="s">
        <v>30</v>
      </c>
    </row>
    <row r="24" ht="15">
      <c r="E24" s="20" t="s">
        <v>95</v>
      </c>
    </row>
    <row r="25" ht="15">
      <c r="E25" s="20" t="s">
        <v>96</v>
      </c>
    </row>
    <row r="26" ht="15">
      <c r="E26" s="20" t="s">
        <v>97</v>
      </c>
    </row>
    <row r="27" ht="15">
      <c r="E27" s="20" t="s">
        <v>98</v>
      </c>
    </row>
    <row r="28" ht="15">
      <c r="E28" s="20" t="s">
        <v>98</v>
      </c>
    </row>
    <row r="29" ht="15">
      <c r="E29" s="20" t="s">
        <v>99</v>
      </c>
    </row>
    <row r="30" ht="15">
      <c r="E30" s="20"/>
    </row>
    <row r="32" spans="1:2" ht="18">
      <c r="A32" s="21" t="s">
        <v>100</v>
      </c>
      <c r="B32" s="21"/>
    </row>
    <row r="33" spans="1:2" ht="15">
      <c r="A33" s="22" t="s">
        <v>101</v>
      </c>
      <c r="B33" s="22"/>
    </row>
    <row r="34" spans="1:2" ht="14.25">
      <c r="A34" s="24"/>
      <c r="B34" s="25" t="s">
        <v>102</v>
      </c>
    </row>
    <row r="35" spans="1:5" ht="15">
      <c r="A35" s="26" t="s">
        <v>103</v>
      </c>
      <c r="B35" s="26" t="s">
        <v>104</v>
      </c>
      <c r="C35" s="26" t="s">
        <v>105</v>
      </c>
      <c r="D35" s="26" t="s">
        <v>106</v>
      </c>
      <c r="E35" s="26" t="s">
        <v>715</v>
      </c>
    </row>
    <row r="36" spans="1:5" ht="12.75">
      <c r="A36" s="23" t="s">
        <v>260</v>
      </c>
      <c r="B36" s="4" t="s">
        <v>102</v>
      </c>
      <c r="C36" s="4" t="s">
        <v>119</v>
      </c>
      <c r="D36" s="4" t="s">
        <v>733</v>
      </c>
      <c r="E36" s="27" t="s">
        <v>757</v>
      </c>
    </row>
    <row r="39" spans="1:2" ht="15">
      <c r="A39" s="22" t="s">
        <v>111</v>
      </c>
      <c r="B39" s="22"/>
    </row>
    <row r="40" spans="1:2" ht="14.25">
      <c r="A40" s="24"/>
      <c r="B40" s="25" t="s">
        <v>112</v>
      </c>
    </row>
    <row r="41" spans="1:5" ht="15">
      <c r="A41" s="26" t="s">
        <v>103</v>
      </c>
      <c r="B41" s="26" t="s">
        <v>104</v>
      </c>
      <c r="C41" s="26" t="s">
        <v>105</v>
      </c>
      <c r="D41" s="26" t="s">
        <v>106</v>
      </c>
      <c r="E41" s="26" t="s">
        <v>715</v>
      </c>
    </row>
    <row r="42" spans="1:5" ht="12.75">
      <c r="A42" s="23" t="s">
        <v>756</v>
      </c>
      <c r="B42" s="4" t="s">
        <v>113</v>
      </c>
      <c r="C42" s="4" t="s">
        <v>126</v>
      </c>
      <c r="D42" s="4" t="s">
        <v>755</v>
      </c>
      <c r="E42" s="27" t="s">
        <v>754</v>
      </c>
    </row>
    <row r="44" spans="1:2" ht="14.25">
      <c r="A44" s="24"/>
      <c r="B44" s="25" t="s">
        <v>102</v>
      </c>
    </row>
    <row r="45" spans="1:5" ht="15">
      <c r="A45" s="26" t="s">
        <v>103</v>
      </c>
      <c r="B45" s="26" t="s">
        <v>104</v>
      </c>
      <c r="C45" s="26" t="s">
        <v>105</v>
      </c>
      <c r="D45" s="26" t="s">
        <v>106</v>
      </c>
      <c r="E45" s="26" t="s">
        <v>715</v>
      </c>
    </row>
    <row r="46" spans="1:5" ht="12.75">
      <c r="A46" s="23" t="s">
        <v>753</v>
      </c>
      <c r="B46" s="4" t="s">
        <v>102</v>
      </c>
      <c r="C46" s="4" t="s">
        <v>222</v>
      </c>
      <c r="D46" s="4" t="s">
        <v>752</v>
      </c>
      <c r="E46" s="27" t="s">
        <v>751</v>
      </c>
    </row>
    <row r="47" spans="1:5" ht="12.75">
      <c r="A47" s="23" t="s">
        <v>312</v>
      </c>
      <c r="B47" s="4" t="s">
        <v>102</v>
      </c>
      <c r="C47" s="4" t="s">
        <v>114</v>
      </c>
      <c r="D47" s="4" t="s">
        <v>750</v>
      </c>
      <c r="E47" s="27" t="s">
        <v>749</v>
      </c>
    </row>
    <row r="48" spans="1:5" ht="12.75">
      <c r="A48" s="23" t="s">
        <v>211</v>
      </c>
      <c r="B48" s="4" t="s">
        <v>102</v>
      </c>
      <c r="C48" s="4" t="s">
        <v>178</v>
      </c>
      <c r="D48" s="4" t="s">
        <v>748</v>
      </c>
      <c r="E48" s="27" t="s">
        <v>747</v>
      </c>
    </row>
    <row r="49" spans="1:5" ht="12.75">
      <c r="A49" s="23" t="s">
        <v>635</v>
      </c>
      <c r="B49" s="4" t="s">
        <v>102</v>
      </c>
      <c r="C49" s="4" t="s">
        <v>114</v>
      </c>
      <c r="D49" s="4" t="s">
        <v>722</v>
      </c>
      <c r="E49" s="27" t="s">
        <v>721</v>
      </c>
    </row>
    <row r="51" spans="1:2" ht="14.25">
      <c r="A51" s="24"/>
      <c r="B51" s="25" t="s">
        <v>124</v>
      </c>
    </row>
    <row r="52" spans="1:5" ht="15">
      <c r="A52" s="26" t="s">
        <v>103</v>
      </c>
      <c r="B52" s="26" t="s">
        <v>104</v>
      </c>
      <c r="C52" s="26" t="s">
        <v>105</v>
      </c>
      <c r="D52" s="26" t="s">
        <v>106</v>
      </c>
      <c r="E52" s="26" t="s">
        <v>715</v>
      </c>
    </row>
    <row r="53" spans="1:5" ht="12.75">
      <c r="A53" s="23" t="s">
        <v>746</v>
      </c>
      <c r="B53" s="4" t="s">
        <v>239</v>
      </c>
      <c r="C53" s="4" t="s">
        <v>222</v>
      </c>
      <c r="D53" s="4" t="s">
        <v>745</v>
      </c>
      <c r="E53" s="27" t="s">
        <v>744</v>
      </c>
    </row>
    <row r="54" spans="1:5" ht="12.75">
      <c r="A54" s="23" t="s">
        <v>635</v>
      </c>
      <c r="B54" s="4" t="s">
        <v>248</v>
      </c>
      <c r="C54" s="4" t="s">
        <v>114</v>
      </c>
      <c r="D54" s="4" t="s">
        <v>722</v>
      </c>
      <c r="E54" s="27" t="s">
        <v>721</v>
      </c>
    </row>
  </sheetData>
  <sheetProtection/>
  <mergeCells count="16"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  <mergeCell ref="A5:J5"/>
    <mergeCell ref="A8:J8"/>
    <mergeCell ref="A12:J12"/>
    <mergeCell ref="A17:J17"/>
    <mergeCell ref="A20:J2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473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11" t="s">
        <v>475</v>
      </c>
      <c r="B6" s="11" t="s">
        <v>476</v>
      </c>
      <c r="C6" s="11" t="s">
        <v>477</v>
      </c>
      <c r="D6" s="11" t="str">
        <f>"0,6370"</f>
        <v>0,6370</v>
      </c>
      <c r="E6" s="11" t="s">
        <v>51</v>
      </c>
      <c r="F6" s="11" t="s">
        <v>61</v>
      </c>
      <c r="G6" s="12" t="s">
        <v>478</v>
      </c>
      <c r="H6" s="12" t="s">
        <v>479</v>
      </c>
      <c r="I6" s="13" t="s">
        <v>140</v>
      </c>
      <c r="J6" s="13"/>
      <c r="K6" s="11" t="str">
        <f>"252,5"</f>
        <v>252,5</v>
      </c>
      <c r="L6" s="12" t="str">
        <f>"160,8425"</f>
        <v>160,8425</v>
      </c>
      <c r="M6" s="11" t="s">
        <v>30</v>
      </c>
    </row>
    <row r="7" spans="1:13" ht="12.75">
      <c r="A7" s="14" t="s">
        <v>481</v>
      </c>
      <c r="B7" s="14" t="s">
        <v>482</v>
      </c>
      <c r="C7" s="14" t="s">
        <v>483</v>
      </c>
      <c r="D7" s="14" t="str">
        <f>"0,6341"</f>
        <v>0,6341</v>
      </c>
      <c r="E7" s="14" t="s">
        <v>291</v>
      </c>
      <c r="F7" s="14" t="s">
        <v>455</v>
      </c>
      <c r="G7" s="15" t="s">
        <v>138</v>
      </c>
      <c r="H7" s="16" t="s">
        <v>140</v>
      </c>
      <c r="I7" s="16" t="s">
        <v>109</v>
      </c>
      <c r="J7" s="16"/>
      <c r="K7" s="14" t="str">
        <f>"250,0"</f>
        <v>250,0</v>
      </c>
      <c r="L7" s="15" t="str">
        <f>"158,5250"</f>
        <v>158,5250</v>
      </c>
      <c r="M7" s="14" t="s">
        <v>30</v>
      </c>
    </row>
    <row r="9" spans="1:12" ht="15">
      <c r="A9" s="58" t="s">
        <v>162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2.75">
      <c r="A10" s="11" t="s">
        <v>485</v>
      </c>
      <c r="B10" s="11" t="s">
        <v>486</v>
      </c>
      <c r="C10" s="11" t="s">
        <v>487</v>
      </c>
      <c r="D10" s="11" t="str">
        <f>"0,5292"</f>
        <v>0,5292</v>
      </c>
      <c r="E10" s="11" t="s">
        <v>51</v>
      </c>
      <c r="F10" s="11" t="s">
        <v>488</v>
      </c>
      <c r="G10" s="12" t="s">
        <v>489</v>
      </c>
      <c r="H10" s="13" t="s">
        <v>490</v>
      </c>
      <c r="I10" s="13" t="s">
        <v>467</v>
      </c>
      <c r="J10" s="13"/>
      <c r="K10" s="11" t="str">
        <f>"300,0"</f>
        <v>300,0</v>
      </c>
      <c r="L10" s="12" t="str">
        <f>"158,7600"</f>
        <v>158,7600</v>
      </c>
      <c r="M10" s="11" t="s">
        <v>30</v>
      </c>
    </row>
    <row r="11" spans="1:13" ht="12.75">
      <c r="A11" s="17" t="s">
        <v>492</v>
      </c>
      <c r="B11" s="17" t="s">
        <v>493</v>
      </c>
      <c r="C11" s="17" t="s">
        <v>494</v>
      </c>
      <c r="D11" s="17" t="str">
        <f>"0,5281"</f>
        <v>0,5281</v>
      </c>
      <c r="E11" s="17" t="s">
        <v>19</v>
      </c>
      <c r="F11" s="17" t="s">
        <v>325</v>
      </c>
      <c r="G11" s="18" t="s">
        <v>109</v>
      </c>
      <c r="H11" s="19" t="s">
        <v>144</v>
      </c>
      <c r="I11" s="19" t="s">
        <v>495</v>
      </c>
      <c r="J11" s="19"/>
      <c r="K11" s="17" t="str">
        <f>"280,0"</f>
        <v>280,0</v>
      </c>
      <c r="L11" s="18" t="str">
        <f>"147,8680"</f>
        <v>147,8680</v>
      </c>
      <c r="M11" s="17" t="s">
        <v>30</v>
      </c>
    </row>
    <row r="12" spans="1:13" ht="12.75">
      <c r="A12" s="17" t="s">
        <v>497</v>
      </c>
      <c r="B12" s="17" t="s">
        <v>498</v>
      </c>
      <c r="C12" s="17" t="s">
        <v>499</v>
      </c>
      <c r="D12" s="17" t="str">
        <f>"0,5338"</f>
        <v>0,5338</v>
      </c>
      <c r="E12" s="17" t="s">
        <v>291</v>
      </c>
      <c r="F12" s="17" t="s">
        <v>500</v>
      </c>
      <c r="G12" s="18" t="s">
        <v>143</v>
      </c>
      <c r="H12" s="18" t="s">
        <v>490</v>
      </c>
      <c r="I12" s="18" t="s">
        <v>501</v>
      </c>
      <c r="J12" s="19"/>
      <c r="K12" s="17" t="str">
        <f>"340,0"</f>
        <v>340,0</v>
      </c>
      <c r="L12" s="18" t="str">
        <f>"187,1183"</f>
        <v>187,1183</v>
      </c>
      <c r="M12" s="17" t="s">
        <v>30</v>
      </c>
    </row>
    <row r="13" spans="1:13" ht="12.75">
      <c r="A13" s="14" t="s">
        <v>492</v>
      </c>
      <c r="B13" s="14" t="s">
        <v>502</v>
      </c>
      <c r="C13" s="14" t="s">
        <v>494</v>
      </c>
      <c r="D13" s="14" t="str">
        <f>"0,5281"</f>
        <v>0,5281</v>
      </c>
      <c r="E13" s="14" t="s">
        <v>19</v>
      </c>
      <c r="F13" s="14" t="s">
        <v>325</v>
      </c>
      <c r="G13" s="15" t="s">
        <v>109</v>
      </c>
      <c r="H13" s="16" t="s">
        <v>144</v>
      </c>
      <c r="I13" s="16" t="s">
        <v>495</v>
      </c>
      <c r="J13" s="16"/>
      <c r="K13" s="14" t="str">
        <f>"280,0"</f>
        <v>280,0</v>
      </c>
      <c r="L13" s="15" t="str">
        <f>"147,8680"</f>
        <v>147,8680</v>
      </c>
      <c r="M13" s="14" t="s">
        <v>30</v>
      </c>
    </row>
    <row r="15" ht="15">
      <c r="E15" s="20" t="s">
        <v>95</v>
      </c>
    </row>
    <row r="16" ht="15">
      <c r="E16" s="20" t="s">
        <v>96</v>
      </c>
    </row>
    <row r="17" ht="15">
      <c r="E17" s="20" t="s">
        <v>97</v>
      </c>
    </row>
    <row r="18" ht="15">
      <c r="E18" s="20" t="s">
        <v>98</v>
      </c>
    </row>
    <row r="19" ht="15">
      <c r="E19" s="20" t="s">
        <v>98</v>
      </c>
    </row>
    <row r="20" ht="15">
      <c r="E20" s="20" t="s">
        <v>99</v>
      </c>
    </row>
    <row r="21" ht="15">
      <c r="E21" s="20"/>
    </row>
    <row r="23" spans="1:2" ht="18">
      <c r="A23" s="21" t="s">
        <v>100</v>
      </c>
      <c r="B23" s="21"/>
    </row>
    <row r="24" spans="1:2" ht="15">
      <c r="A24" s="22" t="s">
        <v>111</v>
      </c>
      <c r="B24" s="22"/>
    </row>
    <row r="25" spans="1:2" ht="14.25">
      <c r="A25" s="24"/>
      <c r="B25" s="25" t="s">
        <v>102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107</v>
      </c>
    </row>
    <row r="27" spans="1:5" ht="12.75">
      <c r="A27" s="23" t="s">
        <v>474</v>
      </c>
      <c r="B27" s="4" t="s">
        <v>102</v>
      </c>
      <c r="C27" s="4" t="s">
        <v>114</v>
      </c>
      <c r="D27" s="4" t="s">
        <v>503</v>
      </c>
      <c r="E27" s="27" t="s">
        <v>504</v>
      </c>
    </row>
    <row r="28" spans="1:5" ht="12.75">
      <c r="A28" s="23" t="s">
        <v>484</v>
      </c>
      <c r="B28" s="4" t="s">
        <v>102</v>
      </c>
      <c r="C28" s="4" t="s">
        <v>178</v>
      </c>
      <c r="D28" s="4" t="s">
        <v>143</v>
      </c>
      <c r="E28" s="27" t="s">
        <v>505</v>
      </c>
    </row>
    <row r="29" spans="1:5" ht="12.75">
      <c r="A29" s="23" t="s">
        <v>480</v>
      </c>
      <c r="B29" s="4" t="s">
        <v>102</v>
      </c>
      <c r="C29" s="4" t="s">
        <v>114</v>
      </c>
      <c r="D29" s="4" t="s">
        <v>138</v>
      </c>
      <c r="E29" s="27" t="s">
        <v>506</v>
      </c>
    </row>
    <row r="30" spans="1:5" ht="12.75">
      <c r="A30" s="23" t="s">
        <v>491</v>
      </c>
      <c r="B30" s="4" t="s">
        <v>102</v>
      </c>
      <c r="C30" s="4" t="s">
        <v>178</v>
      </c>
      <c r="D30" s="4" t="s">
        <v>109</v>
      </c>
      <c r="E30" s="27" t="s">
        <v>507</v>
      </c>
    </row>
    <row r="32" spans="1:2" ht="14.25">
      <c r="A32" s="24"/>
      <c r="B32" s="25" t="s">
        <v>124</v>
      </c>
    </row>
    <row r="33" spans="1:5" ht="15">
      <c r="A33" s="26" t="s">
        <v>103</v>
      </c>
      <c r="B33" s="26" t="s">
        <v>104</v>
      </c>
      <c r="C33" s="26" t="s">
        <v>105</v>
      </c>
      <c r="D33" s="26" t="s">
        <v>106</v>
      </c>
      <c r="E33" s="26" t="s">
        <v>107</v>
      </c>
    </row>
    <row r="34" spans="1:5" ht="12.75">
      <c r="A34" s="23" t="s">
        <v>496</v>
      </c>
      <c r="B34" s="4" t="s">
        <v>184</v>
      </c>
      <c r="C34" s="4" t="s">
        <v>178</v>
      </c>
      <c r="D34" s="4" t="s">
        <v>501</v>
      </c>
      <c r="E34" s="27" t="s">
        <v>508</v>
      </c>
    </row>
    <row r="35" spans="1:5" ht="12.75">
      <c r="A35" s="23" t="s">
        <v>491</v>
      </c>
      <c r="B35" s="4" t="s">
        <v>184</v>
      </c>
      <c r="C35" s="4" t="s">
        <v>178</v>
      </c>
      <c r="D35" s="4" t="s">
        <v>109</v>
      </c>
      <c r="E35" s="27" t="s">
        <v>507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1.75390625" style="0" bestFit="1" customWidth="1"/>
    <col min="2" max="2" width="28.625" style="0" bestFit="1" customWidth="1"/>
    <col min="3" max="3" width="8.375" style="0" bestFit="1" customWidth="1"/>
    <col min="4" max="4" width="9.25390625" style="0" bestFit="1" customWidth="1"/>
    <col min="5" max="5" width="15.375" style="0" bestFit="1" customWidth="1"/>
    <col min="6" max="6" width="40.125" style="0" bestFit="1" customWidth="1"/>
    <col min="7" max="8" width="5.625" style="0" bestFit="1" customWidth="1"/>
    <col min="9" max="9" width="8.375" style="0" customWidth="1"/>
    <col min="10" max="10" width="12.75390625" style="0" bestFit="1" customWidth="1"/>
    <col min="11" max="11" width="13.875" style="0" bestFit="1" customWidth="1"/>
    <col min="12" max="12" width="7.875" style="0" bestFit="1" customWidth="1"/>
  </cols>
  <sheetData>
    <row r="1" spans="1:12" ht="12.75">
      <c r="A1" s="59" t="s">
        <v>791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76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15">
      <c r="A3" s="79" t="s">
        <v>0</v>
      </c>
      <c r="B3" s="85" t="s">
        <v>6</v>
      </c>
      <c r="C3" s="85" t="s">
        <v>7</v>
      </c>
      <c r="D3" s="79" t="s">
        <v>10</v>
      </c>
      <c r="E3" s="79" t="s">
        <v>4</v>
      </c>
      <c r="F3" s="79" t="s">
        <v>8</v>
      </c>
      <c r="G3" s="79" t="s">
        <v>792</v>
      </c>
      <c r="H3" s="79"/>
      <c r="I3" s="79"/>
      <c r="J3" s="79" t="s">
        <v>792</v>
      </c>
      <c r="K3" s="79"/>
      <c r="L3" s="79"/>
      <c r="M3" s="56" t="s">
        <v>1</v>
      </c>
    </row>
    <row r="4" spans="1:13" ht="15">
      <c r="A4" s="79"/>
      <c r="B4" s="79"/>
      <c r="C4" s="79"/>
      <c r="D4" s="79"/>
      <c r="E4" s="79"/>
      <c r="F4" s="79"/>
      <c r="G4" s="26">
        <v>1</v>
      </c>
      <c r="H4" s="26">
        <v>2</v>
      </c>
      <c r="I4" s="26" t="s">
        <v>793</v>
      </c>
      <c r="J4" s="26">
        <v>1</v>
      </c>
      <c r="K4" s="26">
        <v>2</v>
      </c>
      <c r="L4" s="26" t="s">
        <v>793</v>
      </c>
      <c r="M4" s="57"/>
    </row>
    <row r="5" spans="1:13" ht="15">
      <c r="A5" s="80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12.75">
      <c r="A6" s="7" t="s">
        <v>511</v>
      </c>
      <c r="B6" s="7" t="s">
        <v>512</v>
      </c>
      <c r="C6" s="7" t="s">
        <v>513</v>
      </c>
      <c r="D6" s="7" t="str">
        <f>"0,8857"</f>
        <v>0,8857</v>
      </c>
      <c r="E6" s="7" t="s">
        <v>19</v>
      </c>
      <c r="F6" s="7" t="s">
        <v>20</v>
      </c>
      <c r="G6" s="37" t="s">
        <v>181</v>
      </c>
      <c r="H6" s="37" t="s">
        <v>27</v>
      </c>
      <c r="I6" s="37" t="s">
        <v>794</v>
      </c>
      <c r="J6" s="9" t="s">
        <v>175</v>
      </c>
      <c r="K6" s="37" t="s">
        <v>794</v>
      </c>
      <c r="L6" s="36" t="s">
        <v>794</v>
      </c>
      <c r="M6" s="57"/>
    </row>
  </sheetData>
  <sheetProtection/>
  <mergeCells count="10">
    <mergeCell ref="J3:L3"/>
    <mergeCell ref="A5:M5"/>
    <mergeCell ref="A1:L2"/>
    <mergeCell ref="A3:A4"/>
    <mergeCell ref="B3:B4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24" sqref="B24"/>
    </sheetView>
  </sheetViews>
  <sheetFormatPr defaultColWidth="9.00390625" defaultRowHeight="24.75" customHeight="1"/>
  <cols>
    <col min="1" max="1" width="22.00390625" style="0" bestFit="1" customWidth="1"/>
    <col min="2" max="2" width="28.625" style="0" bestFit="1" customWidth="1"/>
    <col min="3" max="3" width="8.375" style="0" bestFit="1" customWidth="1"/>
    <col min="4" max="4" width="9.25390625" style="0" bestFit="1" customWidth="1"/>
    <col min="5" max="5" width="15.375" style="0" bestFit="1" customWidth="1"/>
    <col min="6" max="6" width="29.00390625" style="0" bestFit="1" customWidth="1"/>
    <col min="7" max="9" width="5.625" style="0" bestFit="1" customWidth="1"/>
    <col min="10" max="10" width="12.75390625" style="0" bestFit="1" customWidth="1"/>
    <col min="11" max="11" width="13.875" style="0" bestFit="1" customWidth="1"/>
    <col min="12" max="12" width="7.875" style="0" bestFit="1" customWidth="1"/>
  </cols>
  <sheetData>
    <row r="1" spans="1:12" ht="47.25" customHeight="1">
      <c r="A1" s="59" t="s">
        <v>790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57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 t="s">
        <v>718</v>
      </c>
      <c r="K3" s="69"/>
      <c r="L3" s="69" t="s">
        <v>1</v>
      </c>
    </row>
    <row r="4" spans="1:12" ht="24.75" customHeight="1" thickBot="1">
      <c r="A4" s="66"/>
      <c r="B4" s="68"/>
      <c r="C4" s="68"/>
      <c r="D4" s="68"/>
      <c r="E4" s="68"/>
      <c r="F4" s="68"/>
      <c r="G4" s="6">
        <v>1</v>
      </c>
      <c r="H4" s="6">
        <v>2</v>
      </c>
      <c r="I4" s="6">
        <v>3</v>
      </c>
      <c r="J4" s="6" t="s">
        <v>775</v>
      </c>
      <c r="K4" s="6" t="s">
        <v>776</v>
      </c>
      <c r="L4" s="68"/>
    </row>
    <row r="5" spans="1:12" ht="24.75" customHeight="1">
      <c r="A5" s="72" t="s">
        <v>773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24.75" customHeight="1" thickBot="1">
      <c r="A6" s="7" t="s">
        <v>261</v>
      </c>
      <c r="B6" s="7" t="s">
        <v>262</v>
      </c>
      <c r="C6" s="7" t="s">
        <v>263</v>
      </c>
      <c r="D6" s="7" t="str">
        <f>"0,8364"</f>
        <v>0,8364</v>
      </c>
      <c r="E6" s="7" t="s">
        <v>92</v>
      </c>
      <c r="F6" s="7" t="s">
        <v>93</v>
      </c>
      <c r="G6" s="37" t="s">
        <v>774</v>
      </c>
      <c r="H6" s="8" t="s">
        <v>126</v>
      </c>
      <c r="I6" s="8" t="s">
        <v>264</v>
      </c>
      <c r="J6" s="37" t="s">
        <v>26</v>
      </c>
      <c r="K6" s="37" t="s">
        <v>777</v>
      </c>
      <c r="L6" s="36" t="s">
        <v>28</v>
      </c>
    </row>
    <row r="7" spans="1:12" ht="24.75" customHeight="1">
      <c r="A7" s="72" t="s">
        <v>785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24.75" customHeight="1">
      <c r="A8" s="11" t="s">
        <v>740</v>
      </c>
      <c r="B8" s="11" t="s">
        <v>739</v>
      </c>
      <c r="C8" s="11" t="s">
        <v>301</v>
      </c>
      <c r="D8" s="11" t="str">
        <f>"0,7610"</f>
        <v>0,7610</v>
      </c>
      <c r="E8" s="11" t="s">
        <v>51</v>
      </c>
      <c r="F8" s="11" t="s">
        <v>738</v>
      </c>
      <c r="G8" s="9" t="s">
        <v>786</v>
      </c>
      <c r="H8" s="37" t="s">
        <v>786</v>
      </c>
      <c r="I8" s="37" t="s">
        <v>787</v>
      </c>
      <c r="J8" s="37" t="s">
        <v>273</v>
      </c>
      <c r="K8" s="37" t="s">
        <v>788</v>
      </c>
      <c r="L8" s="36" t="s">
        <v>789</v>
      </c>
    </row>
    <row r="9" spans="1:12" ht="24.75" customHeight="1">
      <c r="A9" s="86" t="s">
        <v>87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4.75" customHeight="1">
      <c r="A10" s="7" t="s">
        <v>198</v>
      </c>
      <c r="B10" s="7" t="s">
        <v>199</v>
      </c>
      <c r="C10" s="7" t="s">
        <v>200</v>
      </c>
      <c r="D10" s="7" t="str">
        <f>"0,5978"</f>
        <v>0,5978</v>
      </c>
      <c r="E10" s="7" t="s">
        <v>19</v>
      </c>
      <c r="F10" s="7" t="s">
        <v>80</v>
      </c>
      <c r="G10" s="37" t="s">
        <v>28</v>
      </c>
      <c r="H10" s="37" t="s">
        <v>201</v>
      </c>
      <c r="I10" s="37" t="s">
        <v>178</v>
      </c>
      <c r="J10" s="37" t="s">
        <v>778</v>
      </c>
      <c r="K10" s="37" t="s">
        <v>779</v>
      </c>
      <c r="L10" s="36" t="s">
        <v>780</v>
      </c>
    </row>
  </sheetData>
  <sheetProtection/>
  <mergeCells count="13">
    <mergeCell ref="A5:L5"/>
    <mergeCell ref="A7:L7"/>
    <mergeCell ref="A9:L9"/>
    <mergeCell ref="A1:L2"/>
    <mergeCell ref="A3:A4"/>
    <mergeCell ref="B3:B4"/>
    <mergeCell ref="C3:C4"/>
    <mergeCell ref="D3:D4"/>
    <mergeCell ref="E3:E4"/>
    <mergeCell ref="F3:F4"/>
    <mergeCell ref="G3:I3"/>
    <mergeCell ref="J3:K3"/>
    <mergeCell ref="L3:L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6.00390625" style="3" bestFit="1" customWidth="1"/>
    <col min="2" max="2" width="28.375" style="3" bestFit="1" customWidth="1"/>
    <col min="3" max="4" width="9.125" style="3" customWidth="1"/>
    <col min="5" max="5" width="22.75390625" style="3" bestFit="1" customWidth="1"/>
    <col min="6" max="9" width="9.125" style="3" customWidth="1"/>
    <col min="10" max="10" width="12.75390625" style="3" bestFit="1" customWidth="1"/>
    <col min="11" max="11" width="13.875" style="3" bestFit="1" customWidth="1"/>
    <col min="12" max="12" width="7.875" style="3" bestFit="1" customWidth="1"/>
    <col min="13" max="16384" width="9.125" style="3" customWidth="1"/>
  </cols>
  <sheetData>
    <row r="1" spans="1:12" s="2" customFormat="1" ht="15" customHeight="1">
      <c r="A1" s="59" t="s">
        <v>772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2" customFormat="1" ht="123.7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 t="s">
        <v>718</v>
      </c>
      <c r="K3" s="69"/>
      <c r="L3" s="69" t="s">
        <v>1</v>
      </c>
    </row>
    <row r="4" spans="1:12" s="1" customFormat="1" ht="21" customHeight="1" thickBot="1">
      <c r="A4" s="66"/>
      <c r="B4" s="68"/>
      <c r="C4" s="68"/>
      <c r="D4" s="68"/>
      <c r="E4" s="68"/>
      <c r="F4" s="68"/>
      <c r="G4" s="6">
        <v>1</v>
      </c>
      <c r="H4" s="6">
        <v>2</v>
      </c>
      <c r="I4" s="6">
        <v>3</v>
      </c>
      <c r="J4" s="6" t="s">
        <v>775</v>
      </c>
      <c r="K4" s="6" t="s">
        <v>776</v>
      </c>
      <c r="L4" s="68"/>
    </row>
    <row r="5" spans="1:12" ht="15">
      <c r="A5" s="72" t="s">
        <v>773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7" t="s">
        <v>261</v>
      </c>
      <c r="B6" s="7" t="s">
        <v>262</v>
      </c>
      <c r="C6" s="7" t="s">
        <v>263</v>
      </c>
      <c r="D6" s="7" t="str">
        <f>"0,8364"</f>
        <v>0,8364</v>
      </c>
      <c r="E6" s="7" t="s">
        <v>92</v>
      </c>
      <c r="F6" s="7" t="s">
        <v>93</v>
      </c>
      <c r="G6" s="37" t="s">
        <v>774</v>
      </c>
      <c r="H6" s="8" t="s">
        <v>126</v>
      </c>
      <c r="I6" s="8" t="s">
        <v>264</v>
      </c>
      <c r="J6" s="37" t="s">
        <v>26</v>
      </c>
      <c r="K6" s="37" t="s">
        <v>777</v>
      </c>
      <c r="L6" s="36" t="s">
        <v>28</v>
      </c>
    </row>
    <row r="7" spans="1:12" ht="15">
      <c r="A7" s="72" t="s">
        <v>87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2.75">
      <c r="A8" s="7" t="s">
        <v>198</v>
      </c>
      <c r="B8" s="7" t="s">
        <v>199</v>
      </c>
      <c r="C8" s="7" t="s">
        <v>200</v>
      </c>
      <c r="D8" s="7" t="str">
        <f>"0,5978"</f>
        <v>0,5978</v>
      </c>
      <c r="E8" s="7" t="s">
        <v>19</v>
      </c>
      <c r="F8" s="7" t="s">
        <v>80</v>
      </c>
      <c r="G8" s="37" t="s">
        <v>28</v>
      </c>
      <c r="H8" s="37" t="s">
        <v>201</v>
      </c>
      <c r="I8" s="37" t="s">
        <v>178</v>
      </c>
      <c r="J8" s="37" t="s">
        <v>778</v>
      </c>
      <c r="K8" s="37" t="s">
        <v>779</v>
      </c>
      <c r="L8" s="36" t="s">
        <v>780</v>
      </c>
    </row>
    <row r="9" spans="1:12" ht="15">
      <c r="A9" s="86" t="s">
        <v>162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2.75">
      <c r="A10" s="7" t="s">
        <v>212</v>
      </c>
      <c r="B10" s="7" t="s">
        <v>213</v>
      </c>
      <c r="C10" s="7" t="s">
        <v>214</v>
      </c>
      <c r="D10" s="7" t="str">
        <f>"0,5296"</f>
        <v>0,5296</v>
      </c>
      <c r="E10" s="7" t="s">
        <v>19</v>
      </c>
      <c r="F10" s="7" t="s">
        <v>215</v>
      </c>
      <c r="G10" s="37" t="s">
        <v>781</v>
      </c>
      <c r="H10" s="37" t="s">
        <v>782</v>
      </c>
      <c r="I10" s="37" t="s">
        <v>367</v>
      </c>
      <c r="J10" s="37" t="s">
        <v>28</v>
      </c>
      <c r="K10" s="37" t="s">
        <v>783</v>
      </c>
      <c r="L10" s="36" t="s">
        <v>784</v>
      </c>
    </row>
    <row r="11" spans="1:12" ht="12.75">
      <c r="A11" s="4"/>
      <c r="B11" s="4"/>
      <c r="C11" s="4"/>
      <c r="D11" s="4"/>
      <c r="F11" s="4"/>
      <c r="L11" s="4"/>
    </row>
    <row r="12" spans="1:12" ht="12.75">
      <c r="A12" s="4"/>
      <c r="B12" s="4"/>
      <c r="C12" s="4"/>
      <c r="D12" s="4"/>
      <c r="F12" s="4"/>
      <c r="L12" s="4"/>
    </row>
    <row r="13" spans="1:12" ht="12.75">
      <c r="A13" s="4"/>
      <c r="B13" s="4"/>
      <c r="C13" s="4"/>
      <c r="D13" s="4"/>
      <c r="F13" s="4"/>
      <c r="L13" s="4"/>
    </row>
    <row r="14" spans="1:12" ht="15">
      <c r="A14" s="4"/>
      <c r="B14" s="4"/>
      <c r="C14" s="4"/>
      <c r="D14" s="4"/>
      <c r="E14" s="20"/>
      <c r="F14" s="4"/>
      <c r="L14" s="4"/>
    </row>
    <row r="15" spans="1:12" ht="12.75">
      <c r="A15" s="4"/>
      <c r="B15" s="4"/>
      <c r="C15" s="4"/>
      <c r="D15" s="4"/>
      <c r="E15" s="4"/>
      <c r="F15" s="4"/>
      <c r="L15" s="4"/>
    </row>
    <row r="16" spans="1:12" ht="12.75">
      <c r="A16" s="4"/>
      <c r="B16" s="4"/>
      <c r="C16" s="4"/>
      <c r="D16" s="4"/>
      <c r="E16" s="4"/>
      <c r="F16" s="4"/>
      <c r="L16" s="4"/>
    </row>
    <row r="27" ht="15">
      <c r="E27" s="20" t="s">
        <v>95</v>
      </c>
    </row>
    <row r="28" ht="15">
      <c r="E28" s="20" t="s">
        <v>96</v>
      </c>
    </row>
    <row r="29" ht="15">
      <c r="E29" s="20" t="s">
        <v>97</v>
      </c>
    </row>
    <row r="30" ht="15">
      <c r="E30" s="20" t="s">
        <v>98</v>
      </c>
    </row>
    <row r="31" ht="15">
      <c r="E31" s="20" t="s">
        <v>98</v>
      </c>
    </row>
    <row r="32" ht="15">
      <c r="E32" s="20" t="s">
        <v>99</v>
      </c>
    </row>
  </sheetData>
  <sheetProtection/>
  <mergeCells count="13">
    <mergeCell ref="A1:L2"/>
    <mergeCell ref="L3:L4"/>
    <mergeCell ref="A5:L5"/>
    <mergeCell ref="A7:L7"/>
    <mergeCell ref="A9:L9"/>
    <mergeCell ref="A3:A4"/>
    <mergeCell ref="B3:B4"/>
    <mergeCell ref="C3:C4"/>
    <mergeCell ref="D3:D4"/>
    <mergeCell ref="E3:E4"/>
    <mergeCell ref="F3:F4"/>
    <mergeCell ref="G3:I3"/>
    <mergeCell ref="J3:K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9" t="s">
        <v>552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13</v>
      </c>
      <c r="L3" s="69"/>
      <c r="M3" s="69"/>
      <c r="N3" s="69"/>
      <c r="O3" s="69" t="s">
        <v>1</v>
      </c>
      <c r="P3" s="69" t="s">
        <v>3</v>
      </c>
      <c r="Q3" s="70" t="s">
        <v>2</v>
      </c>
    </row>
    <row r="4" spans="1:17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68"/>
      <c r="P4" s="68"/>
      <c r="Q4" s="71"/>
    </row>
    <row r="5" spans="1:16" ht="1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2.75">
      <c r="A6" s="7" t="s">
        <v>303</v>
      </c>
      <c r="B6" s="7" t="s">
        <v>67</v>
      </c>
      <c r="C6" s="7" t="s">
        <v>68</v>
      </c>
      <c r="D6" s="7" t="str">
        <f>"0,6329"</f>
        <v>0,6329</v>
      </c>
      <c r="E6" s="7" t="s">
        <v>51</v>
      </c>
      <c r="F6" s="7" t="s">
        <v>69</v>
      </c>
      <c r="G6" s="8" t="s">
        <v>42</v>
      </c>
      <c r="H6" s="9" t="s">
        <v>73</v>
      </c>
      <c r="I6" s="9" t="s">
        <v>43</v>
      </c>
      <c r="J6" s="9"/>
      <c r="K6" s="8" t="s">
        <v>72</v>
      </c>
      <c r="L6" s="8" t="s">
        <v>84</v>
      </c>
      <c r="M6" s="8" t="s">
        <v>94</v>
      </c>
      <c r="N6" s="9"/>
      <c r="O6" s="7" t="str">
        <f>"300,0"</f>
        <v>300,0</v>
      </c>
      <c r="P6" s="8" t="str">
        <f>"195,5661"</f>
        <v>195,5661</v>
      </c>
      <c r="Q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112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107</v>
      </c>
    </row>
    <row r="20" spans="1:5" ht="12.75">
      <c r="A20" s="23" t="s">
        <v>65</v>
      </c>
      <c r="B20" s="4" t="s">
        <v>113</v>
      </c>
      <c r="C20" s="4" t="s">
        <v>114</v>
      </c>
      <c r="D20" s="4" t="s">
        <v>143</v>
      </c>
      <c r="E20" s="27" t="s">
        <v>553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8.75390625" style="0" bestFit="1" customWidth="1"/>
    <col min="2" max="2" width="27.875" style="0" customWidth="1"/>
    <col min="3" max="3" width="8.375" style="0" bestFit="1" customWidth="1"/>
    <col min="4" max="4" width="9.25390625" style="0" bestFit="1" customWidth="1"/>
    <col min="5" max="5" width="10.125" style="0" bestFit="1" customWidth="1"/>
    <col min="6" max="6" width="17.25390625" style="0" bestFit="1" customWidth="1"/>
    <col min="7" max="7" width="7.625" style="0" customWidth="1"/>
    <col min="8" max="8" width="13.75390625" style="0" customWidth="1"/>
    <col min="9" max="9" width="11.25390625" style="0" bestFit="1" customWidth="1"/>
  </cols>
  <sheetData>
    <row r="1" spans="1:9" ht="12.75">
      <c r="A1" s="59" t="s">
        <v>807</v>
      </c>
      <c r="B1" s="60"/>
      <c r="C1" s="60"/>
      <c r="D1" s="60"/>
      <c r="E1" s="60"/>
      <c r="F1" s="60"/>
      <c r="G1" s="60"/>
      <c r="H1" s="60"/>
      <c r="I1" s="60"/>
    </row>
    <row r="2" spans="1:9" ht="104.25" customHeight="1" thickBot="1">
      <c r="A2" s="62"/>
      <c r="B2" s="63"/>
      <c r="C2" s="63"/>
      <c r="D2" s="63"/>
      <c r="E2" s="63"/>
      <c r="F2" s="63"/>
      <c r="G2" s="63"/>
      <c r="H2" s="63"/>
      <c r="I2" s="63"/>
    </row>
    <row r="3" spans="1:9" ht="15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615</v>
      </c>
      <c r="H3" s="69"/>
      <c r="I3" s="69" t="s">
        <v>228</v>
      </c>
    </row>
    <row r="4" spans="1:9" ht="15.75" thickBot="1">
      <c r="A4" s="66"/>
      <c r="B4" s="68"/>
      <c r="C4" s="68"/>
      <c r="D4" s="68"/>
      <c r="E4" s="68"/>
      <c r="F4" s="68"/>
      <c r="G4" s="6" t="s">
        <v>615</v>
      </c>
      <c r="H4" s="6" t="s">
        <v>776</v>
      </c>
      <c r="I4" s="68"/>
    </row>
    <row r="5" spans="1:9" ht="15">
      <c r="A5" s="72" t="s">
        <v>188</v>
      </c>
      <c r="B5" s="72"/>
      <c r="C5" s="72"/>
      <c r="D5" s="72"/>
      <c r="E5" s="72"/>
      <c r="F5" s="72"/>
      <c r="G5" s="72"/>
      <c r="H5" s="72"/>
      <c r="I5" s="72"/>
    </row>
    <row r="6" spans="1:9" ht="12.75">
      <c r="A6" s="36" t="s">
        <v>802</v>
      </c>
      <c r="B6" s="36" t="s">
        <v>803</v>
      </c>
      <c r="C6" s="36" t="s">
        <v>804</v>
      </c>
      <c r="D6" s="7" t="str">
        <f>"0,8132"</f>
        <v>0,8132</v>
      </c>
      <c r="E6" s="36" t="s">
        <v>799</v>
      </c>
      <c r="F6" s="36" t="s">
        <v>805</v>
      </c>
      <c r="G6" s="37" t="s">
        <v>777</v>
      </c>
      <c r="H6" s="8" t="s">
        <v>806</v>
      </c>
      <c r="I6" s="36" t="s">
        <v>806</v>
      </c>
    </row>
  </sheetData>
  <sheetProtection/>
  <mergeCells count="10">
    <mergeCell ref="A5:I5"/>
    <mergeCell ref="A1:I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18.25390625" style="0" bestFit="1" customWidth="1"/>
    <col min="2" max="2" width="22.875" style="0" bestFit="1" customWidth="1"/>
    <col min="3" max="3" width="8.375" style="0" bestFit="1" customWidth="1"/>
    <col min="4" max="4" width="9.25390625" style="0" bestFit="1" customWidth="1"/>
    <col min="5" max="5" width="14.75390625" style="0" bestFit="1" customWidth="1"/>
    <col min="6" max="6" width="25.25390625" style="0" bestFit="1" customWidth="1"/>
    <col min="7" max="9" width="5.625" style="0" bestFit="1" customWidth="1"/>
    <col min="10" max="10" width="4.875" style="0" bestFit="1" customWidth="1"/>
    <col min="11" max="11" width="11.25390625" style="0" bestFit="1" customWidth="1"/>
  </cols>
  <sheetData>
    <row r="1" spans="1:11" ht="12.75">
      <c r="A1" s="59" t="s">
        <v>808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79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615</v>
      </c>
      <c r="H3" s="69"/>
      <c r="I3" s="69"/>
      <c r="J3" s="69"/>
      <c r="K3" s="69" t="s">
        <v>228</v>
      </c>
    </row>
    <row r="4" spans="1:11" ht="15.75" thickBot="1">
      <c r="A4" s="66"/>
      <c r="B4" s="68"/>
      <c r="C4" s="68"/>
      <c r="D4" s="68"/>
      <c r="E4" s="68"/>
      <c r="F4" s="68"/>
      <c r="G4" s="6">
        <v>1</v>
      </c>
      <c r="H4" s="6">
        <v>2</v>
      </c>
      <c r="I4" s="6">
        <v>3</v>
      </c>
      <c r="J4" s="6" t="s">
        <v>5</v>
      </c>
      <c r="K4" s="68"/>
    </row>
    <row r="5" spans="1:11" ht="15">
      <c r="A5" s="72" t="s">
        <v>795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36" t="s">
        <v>796</v>
      </c>
      <c r="B6" s="36" t="s">
        <v>797</v>
      </c>
      <c r="C6" s="36" t="s">
        <v>798</v>
      </c>
      <c r="D6" s="7" t="str">
        <f>"0,8132"</f>
        <v>0,8132</v>
      </c>
      <c r="E6" s="36" t="s">
        <v>799</v>
      </c>
      <c r="F6" s="7" t="s">
        <v>93</v>
      </c>
      <c r="G6" s="37" t="s">
        <v>800</v>
      </c>
      <c r="H6" s="9" t="s">
        <v>801</v>
      </c>
      <c r="I6" s="37" t="s">
        <v>801</v>
      </c>
      <c r="J6" s="9"/>
      <c r="K6" s="36" t="s">
        <v>801</v>
      </c>
    </row>
  </sheetData>
  <sheetProtection/>
  <mergeCells count="10">
    <mergeCell ref="A5:K5"/>
    <mergeCell ref="A1:K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451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188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288</v>
      </c>
      <c r="B6" s="7" t="s">
        <v>289</v>
      </c>
      <c r="C6" s="7" t="s">
        <v>290</v>
      </c>
      <c r="D6" s="7" t="str">
        <f>"0,6708"</f>
        <v>0,6708</v>
      </c>
      <c r="E6" s="7" t="s">
        <v>291</v>
      </c>
      <c r="F6" s="7" t="s">
        <v>93</v>
      </c>
      <c r="G6" s="8" t="s">
        <v>109</v>
      </c>
      <c r="H6" s="8" t="s">
        <v>143</v>
      </c>
      <c r="I6" s="9" t="s">
        <v>144</v>
      </c>
      <c r="J6" s="9"/>
      <c r="K6" s="7" t="str">
        <f>"300,0"</f>
        <v>300,0</v>
      </c>
      <c r="L6" s="8" t="str">
        <f>"201,2400"</f>
        <v>201,2400</v>
      </c>
      <c r="M6" s="7" t="s">
        <v>30</v>
      </c>
    </row>
    <row r="8" spans="1:12" ht="15">
      <c r="A8" s="58" t="s">
        <v>133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11" t="s">
        <v>453</v>
      </c>
      <c r="B9" s="11" t="s">
        <v>454</v>
      </c>
      <c r="C9" s="11" t="s">
        <v>444</v>
      </c>
      <c r="D9" s="11" t="str">
        <f>"0,5543"</f>
        <v>0,5543</v>
      </c>
      <c r="E9" s="11" t="s">
        <v>291</v>
      </c>
      <c r="F9" s="11" t="s">
        <v>455</v>
      </c>
      <c r="G9" s="12" t="s">
        <v>140</v>
      </c>
      <c r="H9" s="13" t="s">
        <v>456</v>
      </c>
      <c r="I9" s="13" t="s">
        <v>456</v>
      </c>
      <c r="J9" s="13"/>
      <c r="K9" s="11" t="str">
        <f>"270,0"</f>
        <v>270,0</v>
      </c>
      <c r="L9" s="12" t="str">
        <f>"149,6610"</f>
        <v>149,6610</v>
      </c>
      <c r="M9" s="11" t="s">
        <v>30</v>
      </c>
    </row>
    <row r="10" spans="1:13" ht="12.75">
      <c r="A10" s="14" t="s">
        <v>458</v>
      </c>
      <c r="B10" s="14" t="s">
        <v>459</v>
      </c>
      <c r="C10" s="14" t="s">
        <v>460</v>
      </c>
      <c r="D10" s="14" t="str">
        <f>"0,5575"</f>
        <v>0,5575</v>
      </c>
      <c r="E10" s="14" t="s">
        <v>291</v>
      </c>
      <c r="F10" s="14" t="s">
        <v>93</v>
      </c>
      <c r="G10" s="15" t="s">
        <v>138</v>
      </c>
      <c r="H10" s="15" t="s">
        <v>168</v>
      </c>
      <c r="I10" s="16" t="s">
        <v>461</v>
      </c>
      <c r="J10" s="16"/>
      <c r="K10" s="14" t="str">
        <f>"265,0"</f>
        <v>265,0</v>
      </c>
      <c r="L10" s="15" t="str">
        <f>"147,7375"</f>
        <v>147,7375</v>
      </c>
      <c r="M10" s="14" t="s">
        <v>30</v>
      </c>
    </row>
    <row r="12" spans="1:12" ht="15">
      <c r="A12" s="58" t="s">
        <v>155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3" ht="12.75">
      <c r="A13" s="7" t="s">
        <v>463</v>
      </c>
      <c r="B13" s="7" t="s">
        <v>464</v>
      </c>
      <c r="C13" s="7" t="s">
        <v>465</v>
      </c>
      <c r="D13" s="7" t="str">
        <f>"0,5429"</f>
        <v>0,5429</v>
      </c>
      <c r="E13" s="7" t="s">
        <v>291</v>
      </c>
      <c r="F13" s="7" t="s">
        <v>455</v>
      </c>
      <c r="G13" s="8" t="s">
        <v>466</v>
      </c>
      <c r="H13" s="8" t="s">
        <v>467</v>
      </c>
      <c r="I13" s="8" t="s">
        <v>468</v>
      </c>
      <c r="J13" s="9"/>
      <c r="K13" s="7" t="str">
        <f>"357,5"</f>
        <v>357,5</v>
      </c>
      <c r="L13" s="8" t="str">
        <f>"194,0868"</f>
        <v>194,0868</v>
      </c>
      <c r="M13" s="7" t="s">
        <v>30</v>
      </c>
    </row>
    <row r="15" ht="15">
      <c r="E15" s="20" t="s">
        <v>95</v>
      </c>
    </row>
    <row r="16" ht="15">
      <c r="E16" s="20" t="s">
        <v>96</v>
      </c>
    </row>
    <row r="17" ht="15">
      <c r="E17" s="20" t="s">
        <v>97</v>
      </c>
    </row>
    <row r="18" ht="15">
      <c r="E18" s="20" t="s">
        <v>98</v>
      </c>
    </row>
    <row r="19" ht="15">
      <c r="E19" s="20" t="s">
        <v>98</v>
      </c>
    </row>
    <row r="20" ht="15">
      <c r="E20" s="20" t="s">
        <v>99</v>
      </c>
    </row>
    <row r="21" ht="15">
      <c r="E21" s="20"/>
    </row>
    <row r="23" spans="1:2" ht="18">
      <c r="A23" s="21" t="s">
        <v>100</v>
      </c>
      <c r="B23" s="21"/>
    </row>
    <row r="24" spans="1:2" ht="15">
      <c r="A24" s="22" t="s">
        <v>111</v>
      </c>
      <c r="B24" s="22"/>
    </row>
    <row r="25" spans="1:2" ht="14.25">
      <c r="A25" s="24"/>
      <c r="B25" s="25" t="s">
        <v>102</v>
      </c>
    </row>
    <row r="26" spans="1:5" ht="15">
      <c r="A26" s="26" t="s">
        <v>103</v>
      </c>
      <c r="B26" s="26" t="s">
        <v>104</v>
      </c>
      <c r="C26" s="26" t="s">
        <v>105</v>
      </c>
      <c r="D26" s="26" t="s">
        <v>106</v>
      </c>
      <c r="E26" s="26" t="s">
        <v>107</v>
      </c>
    </row>
    <row r="27" spans="1:5" ht="12.75">
      <c r="A27" s="23" t="s">
        <v>287</v>
      </c>
      <c r="B27" s="4" t="s">
        <v>102</v>
      </c>
      <c r="C27" s="4" t="s">
        <v>222</v>
      </c>
      <c r="D27" s="4" t="s">
        <v>143</v>
      </c>
      <c r="E27" s="27" t="s">
        <v>469</v>
      </c>
    </row>
    <row r="28" spans="1:5" ht="12.75">
      <c r="A28" s="23" t="s">
        <v>462</v>
      </c>
      <c r="B28" s="4" t="s">
        <v>102</v>
      </c>
      <c r="C28" s="4" t="s">
        <v>181</v>
      </c>
      <c r="D28" s="4" t="s">
        <v>468</v>
      </c>
      <c r="E28" s="27" t="s">
        <v>470</v>
      </c>
    </row>
    <row r="29" spans="1:5" ht="12.75">
      <c r="A29" s="23" t="s">
        <v>452</v>
      </c>
      <c r="B29" s="4" t="s">
        <v>102</v>
      </c>
      <c r="C29" s="4" t="s">
        <v>175</v>
      </c>
      <c r="D29" s="4" t="s">
        <v>140</v>
      </c>
      <c r="E29" s="27" t="s">
        <v>471</v>
      </c>
    </row>
    <row r="30" spans="1:5" ht="12.75">
      <c r="A30" s="23" t="s">
        <v>457</v>
      </c>
      <c r="B30" s="4" t="s">
        <v>102</v>
      </c>
      <c r="C30" s="4" t="s">
        <v>175</v>
      </c>
      <c r="D30" s="4" t="s">
        <v>168</v>
      </c>
      <c r="E30" s="27" t="s">
        <v>472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7.37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425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427</v>
      </c>
      <c r="B6" s="7" t="s">
        <v>428</v>
      </c>
      <c r="C6" s="7" t="s">
        <v>429</v>
      </c>
      <c r="D6" s="7" t="str">
        <f>"0,8609"</f>
        <v>0,8609</v>
      </c>
      <c r="E6" s="7" t="s">
        <v>291</v>
      </c>
      <c r="F6" s="7" t="s">
        <v>430</v>
      </c>
      <c r="G6" s="8" t="s">
        <v>431</v>
      </c>
      <c r="H6" s="8" t="s">
        <v>22</v>
      </c>
      <c r="I6" s="9" t="s">
        <v>432</v>
      </c>
      <c r="J6" s="9"/>
      <c r="K6" s="7" t="str">
        <f>"90,0"</f>
        <v>90,0</v>
      </c>
      <c r="L6" s="8" t="str">
        <f>"77,4810"</f>
        <v>77,4810</v>
      </c>
      <c r="M6" s="7" t="s">
        <v>30</v>
      </c>
    </row>
    <row r="8" spans="1:12" ht="15">
      <c r="A8" s="58" t="s">
        <v>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434</v>
      </c>
      <c r="B9" s="7" t="s">
        <v>435</v>
      </c>
      <c r="C9" s="7" t="s">
        <v>436</v>
      </c>
      <c r="D9" s="7" t="str">
        <f>"0,8491"</f>
        <v>0,8491</v>
      </c>
      <c r="E9" s="7" t="s">
        <v>270</v>
      </c>
      <c r="F9" s="7" t="s">
        <v>271</v>
      </c>
      <c r="G9" s="8" t="s">
        <v>21</v>
      </c>
      <c r="H9" s="8" t="s">
        <v>264</v>
      </c>
      <c r="I9" s="9" t="s">
        <v>23</v>
      </c>
      <c r="J9" s="9"/>
      <c r="K9" s="7" t="str">
        <f>"92,5"</f>
        <v>92,5</v>
      </c>
      <c r="L9" s="8" t="str">
        <f>"78,5417"</f>
        <v>78,5417</v>
      </c>
      <c r="M9" s="7" t="s">
        <v>30</v>
      </c>
    </row>
    <row r="11" spans="1:12" ht="15">
      <c r="A11" s="58" t="s">
        <v>56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438</v>
      </c>
      <c r="B12" s="7" t="s">
        <v>439</v>
      </c>
      <c r="C12" s="7" t="s">
        <v>440</v>
      </c>
      <c r="D12" s="7" t="str">
        <f>"0,6198"</f>
        <v>0,6198</v>
      </c>
      <c r="E12" s="7" t="s">
        <v>291</v>
      </c>
      <c r="F12" s="7" t="s">
        <v>93</v>
      </c>
      <c r="G12" s="8" t="s">
        <v>72</v>
      </c>
      <c r="H12" s="9" t="s">
        <v>302</v>
      </c>
      <c r="I12" s="9" t="s">
        <v>302</v>
      </c>
      <c r="J12" s="9"/>
      <c r="K12" s="7" t="str">
        <f>"150,0"</f>
        <v>150,0</v>
      </c>
      <c r="L12" s="8" t="str">
        <f>"109,0538"</f>
        <v>109,0538</v>
      </c>
      <c r="M12" s="7" t="s">
        <v>30</v>
      </c>
    </row>
    <row r="14" spans="1:12" ht="15">
      <c r="A14" s="58" t="s">
        <v>133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7" t="s">
        <v>442</v>
      </c>
      <c r="B15" s="7" t="s">
        <v>443</v>
      </c>
      <c r="C15" s="7" t="s">
        <v>444</v>
      </c>
      <c r="D15" s="7" t="str">
        <f>"0,5543"</f>
        <v>0,5543</v>
      </c>
      <c r="E15" s="7" t="s">
        <v>291</v>
      </c>
      <c r="F15" s="7" t="s">
        <v>445</v>
      </c>
      <c r="G15" s="8" t="s">
        <v>64</v>
      </c>
      <c r="H15" s="8" t="s">
        <v>160</v>
      </c>
      <c r="I15" s="9" t="s">
        <v>446</v>
      </c>
      <c r="J15" s="9"/>
      <c r="K15" s="7" t="str">
        <f>"220,0"</f>
        <v>220,0</v>
      </c>
      <c r="L15" s="8" t="str">
        <f>"121,9460"</f>
        <v>121,9460</v>
      </c>
      <c r="M15" s="7" t="s">
        <v>30</v>
      </c>
    </row>
    <row r="17" ht="15">
      <c r="E17" s="20" t="s">
        <v>95</v>
      </c>
    </row>
    <row r="18" ht="15">
      <c r="E18" s="20" t="s">
        <v>96</v>
      </c>
    </row>
    <row r="19" ht="15">
      <c r="E19" s="20" t="s">
        <v>97</v>
      </c>
    </row>
    <row r="20" ht="15">
      <c r="E20" s="20" t="s">
        <v>98</v>
      </c>
    </row>
    <row r="21" ht="15">
      <c r="E21" s="20" t="s">
        <v>98</v>
      </c>
    </row>
    <row r="22" ht="15">
      <c r="E22" s="20" t="s">
        <v>99</v>
      </c>
    </row>
    <row r="23" ht="15">
      <c r="E23" s="20"/>
    </row>
    <row r="25" spans="1:2" ht="18">
      <c r="A25" s="21" t="s">
        <v>100</v>
      </c>
      <c r="B25" s="21"/>
    </row>
    <row r="26" spans="1:2" ht="15">
      <c r="A26" s="22" t="s">
        <v>101</v>
      </c>
      <c r="B26" s="22"/>
    </row>
    <row r="27" spans="1:2" ht="14.25">
      <c r="A27" s="24"/>
      <c r="B27" s="25" t="s">
        <v>102</v>
      </c>
    </row>
    <row r="28" spans="1:5" ht="15">
      <c r="A28" s="26" t="s">
        <v>103</v>
      </c>
      <c r="B28" s="26" t="s">
        <v>104</v>
      </c>
      <c r="C28" s="26" t="s">
        <v>105</v>
      </c>
      <c r="D28" s="26" t="s">
        <v>106</v>
      </c>
      <c r="E28" s="26" t="s">
        <v>107</v>
      </c>
    </row>
    <row r="29" spans="1:5" ht="12.75">
      <c r="A29" s="23" t="s">
        <v>433</v>
      </c>
      <c r="B29" s="4" t="s">
        <v>102</v>
      </c>
      <c r="C29" s="4" t="s">
        <v>119</v>
      </c>
      <c r="D29" s="4" t="s">
        <v>264</v>
      </c>
      <c r="E29" s="27" t="s">
        <v>447</v>
      </c>
    </row>
    <row r="30" spans="1:5" ht="12.75">
      <c r="A30" s="23" t="s">
        <v>426</v>
      </c>
      <c r="B30" s="4" t="s">
        <v>102</v>
      </c>
      <c r="C30" s="4" t="s">
        <v>108</v>
      </c>
      <c r="D30" s="4" t="s">
        <v>22</v>
      </c>
      <c r="E30" s="27" t="s">
        <v>448</v>
      </c>
    </row>
    <row r="33" spans="1:2" ht="15">
      <c r="A33" s="22" t="s">
        <v>111</v>
      </c>
      <c r="B33" s="22"/>
    </row>
    <row r="34" spans="1:2" ht="14.25">
      <c r="A34" s="24"/>
      <c r="B34" s="25" t="s">
        <v>102</v>
      </c>
    </row>
    <row r="35" spans="1:5" ht="15">
      <c r="A35" s="26" t="s">
        <v>103</v>
      </c>
      <c r="B35" s="26" t="s">
        <v>104</v>
      </c>
      <c r="C35" s="26" t="s">
        <v>105</v>
      </c>
      <c r="D35" s="26" t="s">
        <v>106</v>
      </c>
      <c r="E35" s="26" t="s">
        <v>107</v>
      </c>
    </row>
    <row r="36" spans="1:5" ht="12.75">
      <c r="A36" s="23" t="s">
        <v>441</v>
      </c>
      <c r="B36" s="4" t="s">
        <v>102</v>
      </c>
      <c r="C36" s="4" t="s">
        <v>175</v>
      </c>
      <c r="D36" s="4" t="s">
        <v>160</v>
      </c>
      <c r="E36" s="27" t="s">
        <v>449</v>
      </c>
    </row>
    <row r="38" spans="1:2" ht="14.25">
      <c r="A38" s="24"/>
      <c r="B38" s="25" t="s">
        <v>124</v>
      </c>
    </row>
    <row r="39" spans="1:5" ht="15">
      <c r="A39" s="26" t="s">
        <v>103</v>
      </c>
      <c r="B39" s="26" t="s">
        <v>104</v>
      </c>
      <c r="C39" s="26" t="s">
        <v>105</v>
      </c>
      <c r="D39" s="26" t="s">
        <v>106</v>
      </c>
      <c r="E39" s="26" t="s">
        <v>107</v>
      </c>
    </row>
    <row r="40" spans="1:5" ht="12.75">
      <c r="A40" s="23" t="s">
        <v>437</v>
      </c>
      <c r="B40" s="4" t="s">
        <v>239</v>
      </c>
      <c r="C40" s="4" t="s">
        <v>114</v>
      </c>
      <c r="D40" s="4" t="s">
        <v>72</v>
      </c>
      <c r="E40" s="27" t="s">
        <v>450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9" sqref="A9:F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7" width="6.625" style="3" bestFit="1" customWidth="1"/>
    <col min="8" max="8" width="5.625" style="3" bestFit="1" customWidth="1"/>
    <col min="9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406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408</v>
      </c>
      <c r="B6" s="7" t="s">
        <v>409</v>
      </c>
      <c r="C6" s="7" t="s">
        <v>410</v>
      </c>
      <c r="D6" s="7" t="str">
        <f>"0,6279"</f>
        <v>0,6279</v>
      </c>
      <c r="E6" s="7" t="s">
        <v>51</v>
      </c>
      <c r="F6" s="7" t="s">
        <v>411</v>
      </c>
      <c r="G6" s="8" t="s">
        <v>70</v>
      </c>
      <c r="H6" s="9" t="s">
        <v>42</v>
      </c>
      <c r="I6" s="8" t="s">
        <v>304</v>
      </c>
      <c r="J6" s="9"/>
      <c r="K6" s="7" t="str">
        <f>"135,0"</f>
        <v>135,0</v>
      </c>
      <c r="L6" s="8" t="str">
        <f>"102,4827"</f>
        <v>102,4827</v>
      </c>
      <c r="M6" s="7" t="s">
        <v>30</v>
      </c>
    </row>
    <row r="8" spans="1:12" ht="15">
      <c r="A8" s="58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198</v>
      </c>
      <c r="B9" s="7" t="s">
        <v>199</v>
      </c>
      <c r="C9" s="7" t="s">
        <v>200</v>
      </c>
      <c r="D9" s="7" t="str">
        <f>"0,5978"</f>
        <v>0,5978</v>
      </c>
      <c r="E9" s="7" t="s">
        <v>19</v>
      </c>
      <c r="F9" s="7" t="s">
        <v>80</v>
      </c>
      <c r="G9" s="8" t="s">
        <v>28</v>
      </c>
      <c r="H9" s="8" t="s">
        <v>201</v>
      </c>
      <c r="I9" s="8" t="s">
        <v>41</v>
      </c>
      <c r="J9" s="9"/>
      <c r="K9" s="7" t="str">
        <f>"125,0"</f>
        <v>125,0</v>
      </c>
      <c r="L9" s="8" t="str">
        <f>"143,4720"</f>
        <v>143,4720</v>
      </c>
      <c r="M9" s="7" t="s">
        <v>30</v>
      </c>
    </row>
    <row r="11" spans="1:12" ht="15">
      <c r="A11" s="58" t="s">
        <v>133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413</v>
      </c>
      <c r="B12" s="7" t="s">
        <v>414</v>
      </c>
      <c r="C12" s="7" t="s">
        <v>415</v>
      </c>
      <c r="D12" s="7" t="str">
        <f>"0,5581"</f>
        <v>0,5581</v>
      </c>
      <c r="E12" s="7" t="s">
        <v>19</v>
      </c>
      <c r="F12" s="7" t="s">
        <v>93</v>
      </c>
      <c r="G12" s="8" t="s">
        <v>171</v>
      </c>
      <c r="H12" s="8" t="s">
        <v>82</v>
      </c>
      <c r="I12" s="9" t="s">
        <v>63</v>
      </c>
      <c r="J12" s="9"/>
      <c r="K12" s="7" t="str">
        <f>"195,0"</f>
        <v>195,0</v>
      </c>
      <c r="L12" s="8" t="str">
        <f>"108,8295"</f>
        <v>108,8295</v>
      </c>
      <c r="M12" s="7" t="s">
        <v>30</v>
      </c>
    </row>
    <row r="14" spans="1:12" ht="15">
      <c r="A14" s="58" t="s">
        <v>162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11" t="s">
        <v>417</v>
      </c>
      <c r="B15" s="11" t="s">
        <v>418</v>
      </c>
      <c r="C15" s="11" t="s">
        <v>419</v>
      </c>
      <c r="D15" s="11" t="str">
        <f>"0,5339"</f>
        <v>0,5339</v>
      </c>
      <c r="E15" s="11" t="s">
        <v>291</v>
      </c>
      <c r="F15" s="11" t="s">
        <v>93</v>
      </c>
      <c r="G15" s="12" t="s">
        <v>63</v>
      </c>
      <c r="H15" s="12" t="s">
        <v>420</v>
      </c>
      <c r="I15" s="12" t="s">
        <v>141</v>
      </c>
      <c r="J15" s="13"/>
      <c r="K15" s="11" t="str">
        <f>"212,5"</f>
        <v>212,5</v>
      </c>
      <c r="L15" s="12" t="str">
        <f>"113,4538"</f>
        <v>113,4538</v>
      </c>
      <c r="M15" s="11" t="s">
        <v>30</v>
      </c>
    </row>
    <row r="16" spans="1:13" ht="12.75">
      <c r="A16" s="14" t="s">
        <v>235</v>
      </c>
      <c r="B16" s="14" t="s">
        <v>236</v>
      </c>
      <c r="C16" s="14" t="s">
        <v>237</v>
      </c>
      <c r="D16" s="14" t="str">
        <f>"0,5342"</f>
        <v>0,5342</v>
      </c>
      <c r="E16" s="14" t="s">
        <v>19</v>
      </c>
      <c r="F16" s="14" t="s">
        <v>215</v>
      </c>
      <c r="G16" s="15" t="s">
        <v>169</v>
      </c>
      <c r="H16" s="15" t="s">
        <v>40</v>
      </c>
      <c r="I16" s="15" t="s">
        <v>46</v>
      </c>
      <c r="J16" s="16"/>
      <c r="K16" s="14" t="str">
        <f>"185,0"</f>
        <v>185,0</v>
      </c>
      <c r="L16" s="15" t="str">
        <f>"131,4399"</f>
        <v>131,4399</v>
      </c>
      <c r="M16" s="14" t="s">
        <v>30</v>
      </c>
    </row>
    <row r="18" ht="15">
      <c r="E18" s="20" t="s">
        <v>95</v>
      </c>
    </row>
    <row r="19" ht="15">
      <c r="E19" s="20" t="s">
        <v>96</v>
      </c>
    </row>
    <row r="20" ht="15">
      <c r="E20" s="20" t="s">
        <v>97</v>
      </c>
    </row>
    <row r="21" ht="15">
      <c r="E21" s="20" t="s">
        <v>98</v>
      </c>
    </row>
    <row r="22" ht="15">
      <c r="E22" s="20" t="s">
        <v>98</v>
      </c>
    </row>
    <row r="23" ht="15">
      <c r="E23" s="20" t="s">
        <v>99</v>
      </c>
    </row>
    <row r="24" ht="15">
      <c r="E24" s="20"/>
    </row>
    <row r="26" spans="1:2" ht="18">
      <c r="A26" s="21" t="s">
        <v>100</v>
      </c>
      <c r="B26" s="21"/>
    </row>
    <row r="27" spans="1:2" ht="15">
      <c r="A27" s="22" t="s">
        <v>111</v>
      </c>
      <c r="B27" s="22"/>
    </row>
    <row r="28" spans="1:2" ht="14.25">
      <c r="A28" s="24"/>
      <c r="B28" s="25" t="s">
        <v>102</v>
      </c>
    </row>
    <row r="29" spans="1:5" ht="15">
      <c r="A29" s="26" t="s">
        <v>103</v>
      </c>
      <c r="B29" s="26" t="s">
        <v>104</v>
      </c>
      <c r="C29" s="26" t="s">
        <v>105</v>
      </c>
      <c r="D29" s="26" t="s">
        <v>106</v>
      </c>
      <c r="E29" s="26" t="s">
        <v>107</v>
      </c>
    </row>
    <row r="30" spans="1:5" ht="12.75">
      <c r="A30" s="23" t="s">
        <v>416</v>
      </c>
      <c r="B30" s="4" t="s">
        <v>102</v>
      </c>
      <c r="C30" s="4" t="s">
        <v>178</v>
      </c>
      <c r="D30" s="4" t="s">
        <v>141</v>
      </c>
      <c r="E30" s="27" t="s">
        <v>421</v>
      </c>
    </row>
    <row r="31" spans="1:5" ht="12.75">
      <c r="A31" s="23" t="s">
        <v>412</v>
      </c>
      <c r="B31" s="4" t="s">
        <v>102</v>
      </c>
      <c r="C31" s="4" t="s">
        <v>175</v>
      </c>
      <c r="D31" s="4" t="s">
        <v>82</v>
      </c>
      <c r="E31" s="27" t="s">
        <v>422</v>
      </c>
    </row>
    <row r="33" spans="1:2" ht="14.25">
      <c r="A33" s="24"/>
      <c r="B33" s="25" t="s">
        <v>124</v>
      </c>
    </row>
    <row r="34" spans="1:5" ht="15">
      <c r="A34" s="26" t="s">
        <v>103</v>
      </c>
      <c r="B34" s="26" t="s">
        <v>104</v>
      </c>
      <c r="C34" s="26" t="s">
        <v>105</v>
      </c>
      <c r="D34" s="26" t="s">
        <v>106</v>
      </c>
      <c r="E34" s="26" t="s">
        <v>107</v>
      </c>
    </row>
    <row r="35" spans="1:5" ht="12.75">
      <c r="A35" s="23" t="s">
        <v>197</v>
      </c>
      <c r="B35" s="4" t="s">
        <v>224</v>
      </c>
      <c r="C35" s="4" t="s">
        <v>126</v>
      </c>
      <c r="D35" s="4" t="s">
        <v>41</v>
      </c>
      <c r="E35" s="27" t="s">
        <v>225</v>
      </c>
    </row>
    <row r="36" spans="1:5" ht="12.75">
      <c r="A36" s="23" t="s">
        <v>234</v>
      </c>
      <c r="B36" s="4" t="s">
        <v>239</v>
      </c>
      <c r="C36" s="4" t="s">
        <v>178</v>
      </c>
      <c r="D36" s="4" t="s">
        <v>40</v>
      </c>
      <c r="E36" s="27" t="s">
        <v>423</v>
      </c>
    </row>
    <row r="37" spans="1:5" ht="12.75">
      <c r="A37" s="23" t="s">
        <v>407</v>
      </c>
      <c r="B37" s="4" t="s">
        <v>239</v>
      </c>
      <c r="C37" s="4" t="s">
        <v>114</v>
      </c>
      <c r="D37" s="4" t="s">
        <v>42</v>
      </c>
      <c r="E37" s="27" t="s">
        <v>424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47" sqref="A47:F4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00390625" style="4" bestFit="1" customWidth="1"/>
    <col min="7" max="9" width="6.625" style="3" bestFit="1" customWidth="1"/>
    <col min="10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250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251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253</v>
      </c>
      <c r="B6" s="7" t="s">
        <v>254</v>
      </c>
      <c r="C6" s="7" t="s">
        <v>255</v>
      </c>
      <c r="D6" s="7" t="str">
        <f>"1,0521"</f>
        <v>1,0521</v>
      </c>
      <c r="E6" s="7" t="s">
        <v>256</v>
      </c>
      <c r="F6" s="7" t="s">
        <v>257</v>
      </c>
      <c r="G6" s="8" t="s">
        <v>258</v>
      </c>
      <c r="H6" s="8" t="s">
        <v>259</v>
      </c>
      <c r="I6" s="8" t="s">
        <v>25</v>
      </c>
      <c r="J6" s="9"/>
      <c r="K6" s="7" t="str">
        <f>"60,0"</f>
        <v>60,0</v>
      </c>
      <c r="L6" s="8" t="str">
        <f>"63,1260"</f>
        <v>63,1260</v>
      </c>
      <c r="M6" s="7" t="s">
        <v>30</v>
      </c>
    </row>
    <row r="8" spans="1:12" ht="15">
      <c r="A8" s="58" t="s">
        <v>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261</v>
      </c>
      <c r="B9" s="7" t="s">
        <v>262</v>
      </c>
      <c r="C9" s="7" t="s">
        <v>263</v>
      </c>
      <c r="D9" s="7" t="str">
        <f>"0,8364"</f>
        <v>0,8364</v>
      </c>
      <c r="E9" s="7" t="s">
        <v>92</v>
      </c>
      <c r="F9" s="7" t="s">
        <v>93</v>
      </c>
      <c r="G9" s="8" t="s">
        <v>21</v>
      </c>
      <c r="H9" s="8" t="s">
        <v>22</v>
      </c>
      <c r="I9" s="8" t="s">
        <v>264</v>
      </c>
      <c r="J9" s="9"/>
      <c r="K9" s="7" t="str">
        <f>"92,5"</f>
        <v>92,5</v>
      </c>
      <c r="L9" s="8" t="str">
        <f>"77,3670"</f>
        <v>77,3670</v>
      </c>
      <c r="M9" s="7" t="s">
        <v>30</v>
      </c>
    </row>
    <row r="11" spans="1:12" ht="15">
      <c r="A11" s="58" t="s">
        <v>265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267</v>
      </c>
      <c r="B12" s="7" t="s">
        <v>268</v>
      </c>
      <c r="C12" s="7" t="s">
        <v>269</v>
      </c>
      <c r="D12" s="7" t="str">
        <f>"0,9849"</f>
        <v>0,9849</v>
      </c>
      <c r="E12" s="7" t="s">
        <v>270</v>
      </c>
      <c r="F12" s="7" t="s">
        <v>271</v>
      </c>
      <c r="G12" s="8" t="s">
        <v>272</v>
      </c>
      <c r="H12" s="9" t="s">
        <v>273</v>
      </c>
      <c r="I12" s="8" t="s">
        <v>273</v>
      </c>
      <c r="J12" s="9"/>
      <c r="K12" s="7" t="str">
        <f>"82,5"</f>
        <v>82,5</v>
      </c>
      <c r="L12" s="8" t="str">
        <f>"86,1295"</f>
        <v>86,1295</v>
      </c>
      <c r="M12" s="7" t="s">
        <v>30</v>
      </c>
    </row>
    <row r="14" spans="1:12" ht="15">
      <c r="A14" s="58" t="s">
        <v>31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7" t="s">
        <v>275</v>
      </c>
      <c r="B15" s="7" t="s">
        <v>276</v>
      </c>
      <c r="C15" s="7" t="s">
        <v>277</v>
      </c>
      <c r="D15" s="7" t="str">
        <f>"0,7408"</f>
        <v>0,7408</v>
      </c>
      <c r="E15" s="7" t="s">
        <v>270</v>
      </c>
      <c r="F15" s="7" t="s">
        <v>271</v>
      </c>
      <c r="G15" s="8" t="s">
        <v>278</v>
      </c>
      <c r="H15" s="8" t="s">
        <v>194</v>
      </c>
      <c r="I15" s="9" t="s">
        <v>196</v>
      </c>
      <c r="J15" s="9"/>
      <c r="K15" s="7" t="str">
        <f>"110,0"</f>
        <v>110,0</v>
      </c>
      <c r="L15" s="8" t="str">
        <f>"84,7475"</f>
        <v>84,7475</v>
      </c>
      <c r="M15" s="7" t="s">
        <v>30</v>
      </c>
    </row>
    <row r="17" spans="1:12" ht="15">
      <c r="A17" s="58" t="s">
        <v>188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 ht="12.75">
      <c r="A18" s="11" t="s">
        <v>280</v>
      </c>
      <c r="B18" s="11" t="s">
        <v>281</v>
      </c>
      <c r="C18" s="11" t="s">
        <v>282</v>
      </c>
      <c r="D18" s="11" t="str">
        <f>"0,6645"</f>
        <v>0,6645</v>
      </c>
      <c r="E18" s="11" t="s">
        <v>51</v>
      </c>
      <c r="F18" s="11" t="s">
        <v>283</v>
      </c>
      <c r="G18" s="12" t="s">
        <v>284</v>
      </c>
      <c r="H18" s="12" t="s">
        <v>285</v>
      </c>
      <c r="I18" s="13" t="s">
        <v>286</v>
      </c>
      <c r="J18" s="13"/>
      <c r="K18" s="11" t="str">
        <f>"40,0"</f>
        <v>40,0</v>
      </c>
      <c r="L18" s="12" t="str">
        <f>"32,6934"</f>
        <v>32,6934</v>
      </c>
      <c r="M18" s="11" t="s">
        <v>30</v>
      </c>
    </row>
    <row r="19" spans="1:13" ht="12.75">
      <c r="A19" s="14" t="s">
        <v>288</v>
      </c>
      <c r="B19" s="14" t="s">
        <v>289</v>
      </c>
      <c r="C19" s="14" t="s">
        <v>290</v>
      </c>
      <c r="D19" s="14" t="str">
        <f>"0,6708"</f>
        <v>0,6708</v>
      </c>
      <c r="E19" s="14" t="s">
        <v>291</v>
      </c>
      <c r="F19" s="14" t="s">
        <v>93</v>
      </c>
      <c r="G19" s="15" t="s">
        <v>38</v>
      </c>
      <c r="H19" s="15" t="s">
        <v>39</v>
      </c>
      <c r="I19" s="15" t="s">
        <v>292</v>
      </c>
      <c r="J19" s="16" t="s">
        <v>40</v>
      </c>
      <c r="K19" s="14" t="str">
        <f>"182,5"</f>
        <v>182,5</v>
      </c>
      <c r="L19" s="15" t="str">
        <f>"122,4210"</f>
        <v>122,4210</v>
      </c>
      <c r="M19" s="14" t="s">
        <v>30</v>
      </c>
    </row>
    <row r="21" spans="1:12" ht="15">
      <c r="A21" s="58" t="s">
        <v>56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3" ht="12.75">
      <c r="A22" s="11" t="s">
        <v>294</v>
      </c>
      <c r="B22" s="11" t="s">
        <v>295</v>
      </c>
      <c r="C22" s="11" t="s">
        <v>296</v>
      </c>
      <c r="D22" s="11" t="str">
        <f>"0,6251"</f>
        <v>0,6251</v>
      </c>
      <c r="E22" s="11" t="s">
        <v>19</v>
      </c>
      <c r="F22" s="11" t="s">
        <v>297</v>
      </c>
      <c r="G22" s="13" t="s">
        <v>72</v>
      </c>
      <c r="H22" s="12" t="s">
        <v>72</v>
      </c>
      <c r="I22" s="13"/>
      <c r="J22" s="13"/>
      <c r="K22" s="11" t="str">
        <f>"150,0"</f>
        <v>150,0</v>
      </c>
      <c r="L22" s="12" t="str">
        <f>"115,3310"</f>
        <v>115,3310</v>
      </c>
      <c r="M22" s="11" t="s">
        <v>30</v>
      </c>
    </row>
    <row r="23" spans="1:13" ht="12.75">
      <c r="A23" s="17" t="s">
        <v>299</v>
      </c>
      <c r="B23" s="17" t="s">
        <v>300</v>
      </c>
      <c r="C23" s="17" t="s">
        <v>301</v>
      </c>
      <c r="D23" s="17" t="str">
        <f>"0,6219"</f>
        <v>0,6219</v>
      </c>
      <c r="E23" s="17" t="s">
        <v>51</v>
      </c>
      <c r="F23" s="17" t="s">
        <v>93</v>
      </c>
      <c r="G23" s="18" t="s">
        <v>154</v>
      </c>
      <c r="H23" s="18" t="s">
        <v>72</v>
      </c>
      <c r="I23" s="18" t="s">
        <v>302</v>
      </c>
      <c r="J23" s="19"/>
      <c r="K23" s="17" t="str">
        <f>"152,5"</f>
        <v>152,5</v>
      </c>
      <c r="L23" s="18" t="str">
        <f>"102,4269"</f>
        <v>102,4269</v>
      </c>
      <c r="M23" s="17" t="s">
        <v>30</v>
      </c>
    </row>
    <row r="24" spans="1:13" ht="12.75">
      <c r="A24" s="17" t="s">
        <v>303</v>
      </c>
      <c r="B24" s="17" t="s">
        <v>67</v>
      </c>
      <c r="C24" s="17" t="s">
        <v>68</v>
      </c>
      <c r="D24" s="17" t="str">
        <f>"0,6329"</f>
        <v>0,6329</v>
      </c>
      <c r="E24" s="17" t="s">
        <v>51</v>
      </c>
      <c r="F24" s="17" t="s">
        <v>69</v>
      </c>
      <c r="G24" s="18" t="s">
        <v>304</v>
      </c>
      <c r="H24" s="19" t="s">
        <v>73</v>
      </c>
      <c r="I24" s="19" t="s">
        <v>43</v>
      </c>
      <c r="J24" s="19"/>
      <c r="K24" s="17" t="str">
        <f>"135,0"</f>
        <v>135,0</v>
      </c>
      <c r="L24" s="18" t="str">
        <f>"88,0047"</f>
        <v>88,0047</v>
      </c>
      <c r="M24" s="17" t="s">
        <v>30</v>
      </c>
    </row>
    <row r="25" spans="1:13" ht="12.75">
      <c r="A25" s="17" t="s">
        <v>306</v>
      </c>
      <c r="B25" s="17" t="s">
        <v>307</v>
      </c>
      <c r="C25" s="17" t="s">
        <v>308</v>
      </c>
      <c r="D25" s="17" t="str">
        <f>"0,6262"</f>
        <v>0,6262</v>
      </c>
      <c r="E25" s="17" t="s">
        <v>51</v>
      </c>
      <c r="F25" s="17" t="s">
        <v>309</v>
      </c>
      <c r="G25" s="18" t="s">
        <v>310</v>
      </c>
      <c r="H25" s="18" t="s">
        <v>75</v>
      </c>
      <c r="I25" s="18" t="s">
        <v>311</v>
      </c>
      <c r="J25" s="19"/>
      <c r="K25" s="17" t="str">
        <f>"170,0"</f>
        <v>170,0</v>
      </c>
      <c r="L25" s="18" t="str">
        <f>"106,4540"</f>
        <v>106,4540</v>
      </c>
      <c r="M25" s="17" t="s">
        <v>30</v>
      </c>
    </row>
    <row r="26" spans="1:13" ht="12.75">
      <c r="A26" s="17" t="s">
        <v>313</v>
      </c>
      <c r="B26" s="17" t="s">
        <v>314</v>
      </c>
      <c r="C26" s="17" t="s">
        <v>315</v>
      </c>
      <c r="D26" s="17" t="str">
        <f>"0,6214"</f>
        <v>0,6214</v>
      </c>
      <c r="E26" s="17" t="s">
        <v>51</v>
      </c>
      <c r="F26" s="17" t="s">
        <v>93</v>
      </c>
      <c r="G26" s="18" t="s">
        <v>71</v>
      </c>
      <c r="H26" s="18" t="s">
        <v>316</v>
      </c>
      <c r="I26" s="18" t="s">
        <v>83</v>
      </c>
      <c r="J26" s="19"/>
      <c r="K26" s="17" t="str">
        <f>"155,0"</f>
        <v>155,0</v>
      </c>
      <c r="L26" s="18" t="str">
        <f>"96,3170"</f>
        <v>96,3170</v>
      </c>
      <c r="M26" s="17" t="s">
        <v>30</v>
      </c>
    </row>
    <row r="27" spans="1:13" ht="12.75">
      <c r="A27" s="14" t="s">
        <v>318</v>
      </c>
      <c r="B27" s="14" t="s">
        <v>319</v>
      </c>
      <c r="C27" s="14" t="s">
        <v>320</v>
      </c>
      <c r="D27" s="14" t="str">
        <f>"0,6335"</f>
        <v>0,6335</v>
      </c>
      <c r="E27" s="14" t="s">
        <v>256</v>
      </c>
      <c r="F27" s="14" t="s">
        <v>257</v>
      </c>
      <c r="G27" s="15" t="s">
        <v>43</v>
      </c>
      <c r="H27" s="15" t="s">
        <v>154</v>
      </c>
      <c r="I27" s="15" t="s">
        <v>72</v>
      </c>
      <c r="J27" s="16"/>
      <c r="K27" s="14" t="str">
        <f>"150,0"</f>
        <v>150,0</v>
      </c>
      <c r="L27" s="15" t="str">
        <f>"106,1429"</f>
        <v>106,1429</v>
      </c>
      <c r="M27" s="14" t="s">
        <v>30</v>
      </c>
    </row>
    <row r="29" spans="1:12" ht="15">
      <c r="A29" s="58" t="s">
        <v>87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3" ht="12.75">
      <c r="A30" s="11" t="s">
        <v>322</v>
      </c>
      <c r="B30" s="11" t="s">
        <v>323</v>
      </c>
      <c r="C30" s="11" t="s">
        <v>324</v>
      </c>
      <c r="D30" s="11" t="str">
        <f>"0,5922"</f>
        <v>0,5922</v>
      </c>
      <c r="E30" s="11" t="s">
        <v>19</v>
      </c>
      <c r="F30" s="11" t="s">
        <v>325</v>
      </c>
      <c r="G30" s="12" t="s">
        <v>38</v>
      </c>
      <c r="H30" s="12" t="s">
        <v>169</v>
      </c>
      <c r="I30" s="12" t="s">
        <v>326</v>
      </c>
      <c r="J30" s="13"/>
      <c r="K30" s="11" t="str">
        <f>"177,5"</f>
        <v>177,5</v>
      </c>
      <c r="L30" s="12" t="str">
        <f>"105,1155"</f>
        <v>105,1155</v>
      </c>
      <c r="M30" s="11" t="s">
        <v>30</v>
      </c>
    </row>
    <row r="31" spans="1:13" ht="12.75">
      <c r="A31" s="17" t="s">
        <v>328</v>
      </c>
      <c r="B31" s="17" t="s">
        <v>329</v>
      </c>
      <c r="C31" s="17" t="s">
        <v>330</v>
      </c>
      <c r="D31" s="17" t="str">
        <f>"0,5914"</f>
        <v>0,5914</v>
      </c>
      <c r="E31" s="17" t="s">
        <v>270</v>
      </c>
      <c r="F31" s="17" t="s">
        <v>271</v>
      </c>
      <c r="G31" s="18" t="s">
        <v>42</v>
      </c>
      <c r="H31" s="18" t="s">
        <v>331</v>
      </c>
      <c r="I31" s="19" t="s">
        <v>72</v>
      </c>
      <c r="J31" s="19"/>
      <c r="K31" s="17" t="str">
        <f>"142,5"</f>
        <v>142,5</v>
      </c>
      <c r="L31" s="18" t="str">
        <f>"84,2745"</f>
        <v>84,2745</v>
      </c>
      <c r="M31" s="17" t="s">
        <v>30</v>
      </c>
    </row>
    <row r="32" spans="1:13" ht="12.75">
      <c r="A32" s="14" t="s">
        <v>198</v>
      </c>
      <c r="B32" s="14" t="s">
        <v>199</v>
      </c>
      <c r="C32" s="14" t="s">
        <v>200</v>
      </c>
      <c r="D32" s="14" t="str">
        <f>"0,5978"</f>
        <v>0,5978</v>
      </c>
      <c r="E32" s="14" t="s">
        <v>19</v>
      </c>
      <c r="F32" s="14" t="s">
        <v>80</v>
      </c>
      <c r="G32" s="15" t="s">
        <v>28</v>
      </c>
      <c r="H32" s="15" t="s">
        <v>201</v>
      </c>
      <c r="I32" s="15" t="s">
        <v>41</v>
      </c>
      <c r="J32" s="16"/>
      <c r="K32" s="14" t="str">
        <f>"125,0"</f>
        <v>125,0</v>
      </c>
      <c r="L32" s="15" t="str">
        <f>"143,4720"</f>
        <v>143,4720</v>
      </c>
      <c r="M32" s="14" t="s">
        <v>30</v>
      </c>
    </row>
    <row r="34" spans="1:12" ht="15">
      <c r="A34" s="58" t="s">
        <v>133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12.75">
      <c r="A35" s="11" t="s">
        <v>333</v>
      </c>
      <c r="B35" s="11" t="s">
        <v>334</v>
      </c>
      <c r="C35" s="11" t="s">
        <v>335</v>
      </c>
      <c r="D35" s="11" t="str">
        <f>"0,5610"</f>
        <v>0,5610</v>
      </c>
      <c r="E35" s="11" t="s">
        <v>336</v>
      </c>
      <c r="F35" s="11" t="s">
        <v>93</v>
      </c>
      <c r="G35" s="12" t="s">
        <v>151</v>
      </c>
      <c r="H35" s="13" t="s">
        <v>337</v>
      </c>
      <c r="I35" s="12" t="s">
        <v>337</v>
      </c>
      <c r="J35" s="13"/>
      <c r="K35" s="11" t="str">
        <f>"217,5"</f>
        <v>217,5</v>
      </c>
      <c r="L35" s="12" t="str">
        <f>"122,0175"</f>
        <v>122,0175</v>
      </c>
      <c r="M35" s="11" t="s">
        <v>30</v>
      </c>
    </row>
    <row r="36" spans="1:13" ht="12.75">
      <c r="A36" s="17" t="s">
        <v>339</v>
      </c>
      <c r="B36" s="17" t="s">
        <v>340</v>
      </c>
      <c r="C36" s="17" t="s">
        <v>341</v>
      </c>
      <c r="D36" s="17" t="str">
        <f>"0,5589"</f>
        <v>0,5589</v>
      </c>
      <c r="E36" s="17" t="s">
        <v>342</v>
      </c>
      <c r="F36" s="17" t="s">
        <v>283</v>
      </c>
      <c r="G36" s="19" t="s">
        <v>72</v>
      </c>
      <c r="H36" s="18" t="s">
        <v>72</v>
      </c>
      <c r="I36" s="19" t="s">
        <v>233</v>
      </c>
      <c r="J36" s="19"/>
      <c r="K36" s="17" t="str">
        <f>"150,0"</f>
        <v>150,0</v>
      </c>
      <c r="L36" s="18" t="str">
        <f>"83,8350"</f>
        <v>83,8350</v>
      </c>
      <c r="M36" s="17" t="s">
        <v>30</v>
      </c>
    </row>
    <row r="37" spans="1:13" ht="12.75">
      <c r="A37" s="17" t="s">
        <v>203</v>
      </c>
      <c r="B37" s="17" t="s">
        <v>204</v>
      </c>
      <c r="C37" s="17" t="s">
        <v>205</v>
      </c>
      <c r="D37" s="17" t="str">
        <f>"0,5591"</f>
        <v>0,5591</v>
      </c>
      <c r="E37" s="17" t="s">
        <v>36</v>
      </c>
      <c r="F37" s="17" t="s">
        <v>206</v>
      </c>
      <c r="G37" s="18" t="s">
        <v>72</v>
      </c>
      <c r="H37" s="18" t="s">
        <v>161</v>
      </c>
      <c r="I37" s="18" t="s">
        <v>233</v>
      </c>
      <c r="J37" s="19"/>
      <c r="K37" s="17" t="str">
        <f>"162,5"</f>
        <v>162,5</v>
      </c>
      <c r="L37" s="18" t="str">
        <f>"91,1263"</f>
        <v>91,1263</v>
      </c>
      <c r="M37" s="17" t="s">
        <v>30</v>
      </c>
    </row>
    <row r="38" spans="1:13" ht="12.75">
      <c r="A38" s="17" t="s">
        <v>344</v>
      </c>
      <c r="B38" s="17" t="s">
        <v>345</v>
      </c>
      <c r="C38" s="17" t="s">
        <v>346</v>
      </c>
      <c r="D38" s="17" t="str">
        <f>"0,5737"</f>
        <v>0,5737</v>
      </c>
      <c r="E38" s="17" t="s">
        <v>51</v>
      </c>
      <c r="F38" s="17" t="s">
        <v>347</v>
      </c>
      <c r="G38" s="18" t="s">
        <v>71</v>
      </c>
      <c r="H38" s="18" t="s">
        <v>348</v>
      </c>
      <c r="I38" s="18" t="s">
        <v>74</v>
      </c>
      <c r="J38" s="19"/>
      <c r="K38" s="17" t="str">
        <f>"150,0"</f>
        <v>150,0</v>
      </c>
      <c r="L38" s="18" t="str">
        <f>"88,7227"</f>
        <v>88,7227</v>
      </c>
      <c r="M38" s="17" t="s">
        <v>30</v>
      </c>
    </row>
    <row r="39" spans="1:13" ht="12.75">
      <c r="A39" s="14" t="s">
        <v>350</v>
      </c>
      <c r="B39" s="14" t="s">
        <v>351</v>
      </c>
      <c r="C39" s="14" t="s">
        <v>352</v>
      </c>
      <c r="D39" s="14" t="str">
        <f>"0,5678"</f>
        <v>0,5678</v>
      </c>
      <c r="E39" s="14" t="s">
        <v>51</v>
      </c>
      <c r="F39" s="14" t="s">
        <v>150</v>
      </c>
      <c r="G39" s="15" t="s">
        <v>84</v>
      </c>
      <c r="H39" s="15" t="s">
        <v>94</v>
      </c>
      <c r="I39" s="15" t="s">
        <v>353</v>
      </c>
      <c r="J39" s="16"/>
      <c r="K39" s="14" t="str">
        <f>"167,5"</f>
        <v>167,5</v>
      </c>
      <c r="L39" s="15" t="str">
        <f>"101,6688"</f>
        <v>101,6688</v>
      </c>
      <c r="M39" s="14" t="s">
        <v>30</v>
      </c>
    </row>
    <row r="41" spans="1:12" ht="15">
      <c r="A41" s="58" t="s">
        <v>155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3" ht="12.75">
      <c r="A42" s="11" t="s">
        <v>355</v>
      </c>
      <c r="B42" s="11" t="s">
        <v>356</v>
      </c>
      <c r="C42" s="11" t="s">
        <v>357</v>
      </c>
      <c r="D42" s="11" t="str">
        <f>"0,5444"</f>
        <v>0,5444</v>
      </c>
      <c r="E42" s="11" t="s">
        <v>51</v>
      </c>
      <c r="F42" s="11" t="s">
        <v>283</v>
      </c>
      <c r="G42" s="12" t="s">
        <v>358</v>
      </c>
      <c r="H42" s="12" t="s">
        <v>359</v>
      </c>
      <c r="I42" s="12" t="s">
        <v>360</v>
      </c>
      <c r="J42" s="13"/>
      <c r="K42" s="11" t="str">
        <f>"75,0"</f>
        <v>75,0</v>
      </c>
      <c r="L42" s="12" t="str">
        <f>"50,2209"</f>
        <v>50,2209</v>
      </c>
      <c r="M42" s="11" t="s">
        <v>30</v>
      </c>
    </row>
    <row r="43" spans="1:13" ht="12.75">
      <c r="A43" s="17" t="s">
        <v>208</v>
      </c>
      <c r="B43" s="17" t="s">
        <v>209</v>
      </c>
      <c r="C43" s="17" t="s">
        <v>210</v>
      </c>
      <c r="D43" s="17" t="str">
        <f>"0,5381"</f>
        <v>0,5381</v>
      </c>
      <c r="E43" s="17" t="s">
        <v>36</v>
      </c>
      <c r="F43" s="17" t="s">
        <v>61</v>
      </c>
      <c r="G43" s="18" t="s">
        <v>38</v>
      </c>
      <c r="H43" s="18" t="s">
        <v>39</v>
      </c>
      <c r="I43" s="19" t="s">
        <v>40</v>
      </c>
      <c r="J43" s="19"/>
      <c r="K43" s="17" t="str">
        <f>"180,0"</f>
        <v>180,0</v>
      </c>
      <c r="L43" s="18" t="str">
        <f>"98,6014"</f>
        <v>98,6014</v>
      </c>
      <c r="M43" s="17" t="s">
        <v>30</v>
      </c>
    </row>
    <row r="44" spans="1:13" ht="12.75">
      <c r="A44" s="14" t="s">
        <v>362</v>
      </c>
      <c r="B44" s="14" t="s">
        <v>363</v>
      </c>
      <c r="C44" s="14" t="s">
        <v>364</v>
      </c>
      <c r="D44" s="14" t="str">
        <f>"0,5475"</f>
        <v>0,5475</v>
      </c>
      <c r="E44" s="14" t="s">
        <v>365</v>
      </c>
      <c r="F44" s="14" t="s">
        <v>366</v>
      </c>
      <c r="G44" s="16" t="s">
        <v>154</v>
      </c>
      <c r="H44" s="15" t="s">
        <v>72</v>
      </c>
      <c r="I44" s="16" t="s">
        <v>94</v>
      </c>
      <c r="J44" s="16"/>
      <c r="K44" s="14" t="str">
        <f>"150,0"</f>
        <v>150,0</v>
      </c>
      <c r="L44" s="15" t="str">
        <f>"82,1250"</f>
        <v>82,1250</v>
      </c>
      <c r="M44" s="14" t="s">
        <v>30</v>
      </c>
    </row>
    <row r="46" spans="1:12" ht="15">
      <c r="A46" s="58" t="s">
        <v>162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3" ht="12.75">
      <c r="A47" s="11" t="s">
        <v>212</v>
      </c>
      <c r="B47" s="11" t="s">
        <v>213</v>
      </c>
      <c r="C47" s="11" t="s">
        <v>214</v>
      </c>
      <c r="D47" s="11" t="str">
        <f>"0,5296"</f>
        <v>0,5296</v>
      </c>
      <c r="E47" s="11" t="s">
        <v>19</v>
      </c>
      <c r="F47" s="11" t="s">
        <v>215</v>
      </c>
      <c r="G47" s="12" t="s">
        <v>39</v>
      </c>
      <c r="H47" s="12" t="s">
        <v>171</v>
      </c>
      <c r="I47" s="12" t="s">
        <v>367</v>
      </c>
      <c r="J47" s="13"/>
      <c r="K47" s="11" t="str">
        <f>"192,5"</f>
        <v>192,5</v>
      </c>
      <c r="L47" s="12" t="str">
        <f>"101,9480"</f>
        <v>101,9480</v>
      </c>
      <c r="M47" s="11" t="s">
        <v>30</v>
      </c>
    </row>
    <row r="48" spans="1:13" ht="12.75">
      <c r="A48" s="17" t="s">
        <v>368</v>
      </c>
      <c r="B48" s="17" t="s">
        <v>218</v>
      </c>
      <c r="C48" s="17" t="s">
        <v>219</v>
      </c>
      <c r="D48" s="17" t="str">
        <f>"0,5305"</f>
        <v>0,5305</v>
      </c>
      <c r="E48" s="17" t="s">
        <v>92</v>
      </c>
      <c r="F48" s="17" t="s">
        <v>93</v>
      </c>
      <c r="G48" s="18" t="s">
        <v>84</v>
      </c>
      <c r="H48" s="18" t="s">
        <v>169</v>
      </c>
      <c r="I48" s="18" t="s">
        <v>40</v>
      </c>
      <c r="J48" s="19"/>
      <c r="K48" s="17" t="str">
        <f>"185,0"</f>
        <v>185,0</v>
      </c>
      <c r="L48" s="18" t="str">
        <f>"98,1425"</f>
        <v>98,1425</v>
      </c>
      <c r="M48" s="17" t="s">
        <v>30</v>
      </c>
    </row>
    <row r="49" spans="1:13" ht="12.75">
      <c r="A49" s="14" t="s">
        <v>370</v>
      </c>
      <c r="B49" s="14" t="s">
        <v>371</v>
      </c>
      <c r="C49" s="14" t="s">
        <v>372</v>
      </c>
      <c r="D49" s="14" t="str">
        <f>"0,5237"</f>
        <v>0,5237</v>
      </c>
      <c r="E49" s="14" t="s">
        <v>36</v>
      </c>
      <c r="F49" s="14" t="s">
        <v>37</v>
      </c>
      <c r="G49" s="15" t="s">
        <v>169</v>
      </c>
      <c r="H49" s="15" t="s">
        <v>39</v>
      </c>
      <c r="I49" s="15" t="s">
        <v>292</v>
      </c>
      <c r="J49" s="16"/>
      <c r="K49" s="14" t="str">
        <f>"182,5"</f>
        <v>182,5</v>
      </c>
      <c r="L49" s="15" t="str">
        <f>"115,0726"</f>
        <v>115,0726</v>
      </c>
      <c r="M49" s="14" t="s">
        <v>30</v>
      </c>
    </row>
    <row r="51" ht="15">
      <c r="E51" s="20" t="s">
        <v>95</v>
      </c>
    </row>
    <row r="52" ht="15">
      <c r="E52" s="20" t="s">
        <v>96</v>
      </c>
    </row>
    <row r="53" ht="15">
      <c r="E53" s="20" t="s">
        <v>97</v>
      </c>
    </row>
    <row r="54" ht="15">
      <c r="E54" s="20" t="s">
        <v>98</v>
      </c>
    </row>
    <row r="55" ht="15">
      <c r="E55" s="20" t="s">
        <v>98</v>
      </c>
    </row>
    <row r="56" ht="15">
      <c r="E56" s="20" t="s">
        <v>99</v>
      </c>
    </row>
    <row r="57" ht="15">
      <c r="E57" s="20"/>
    </row>
    <row r="59" spans="1:2" ht="18">
      <c r="A59" s="21" t="s">
        <v>100</v>
      </c>
      <c r="B59" s="21"/>
    </row>
    <row r="60" spans="1:2" ht="15">
      <c r="A60" s="22" t="s">
        <v>101</v>
      </c>
      <c r="B60" s="22"/>
    </row>
    <row r="61" spans="1:2" ht="14.25">
      <c r="A61" s="24"/>
      <c r="B61" s="25" t="s">
        <v>102</v>
      </c>
    </row>
    <row r="62" spans="1:5" ht="15">
      <c r="A62" s="26" t="s">
        <v>103</v>
      </c>
      <c r="B62" s="26" t="s">
        <v>104</v>
      </c>
      <c r="C62" s="26" t="s">
        <v>105</v>
      </c>
      <c r="D62" s="26" t="s">
        <v>106</v>
      </c>
      <c r="E62" s="26" t="s">
        <v>107</v>
      </c>
    </row>
    <row r="63" spans="1:5" ht="12.75">
      <c r="A63" s="23" t="s">
        <v>260</v>
      </c>
      <c r="B63" s="4" t="s">
        <v>102</v>
      </c>
      <c r="C63" s="4" t="s">
        <v>119</v>
      </c>
      <c r="D63" s="4" t="s">
        <v>264</v>
      </c>
      <c r="E63" s="27" t="s">
        <v>373</v>
      </c>
    </row>
    <row r="64" spans="1:5" ht="12.75">
      <c r="A64" s="23" t="s">
        <v>252</v>
      </c>
      <c r="B64" s="4" t="s">
        <v>102</v>
      </c>
      <c r="C64" s="4" t="s">
        <v>374</v>
      </c>
      <c r="D64" s="4" t="s">
        <v>25</v>
      </c>
      <c r="E64" s="27" t="s">
        <v>375</v>
      </c>
    </row>
    <row r="67" spans="1:2" ht="15">
      <c r="A67" s="22" t="s">
        <v>111</v>
      </c>
      <c r="B67" s="22"/>
    </row>
    <row r="68" spans="1:2" ht="14.25">
      <c r="A68" s="24"/>
      <c r="B68" s="25" t="s">
        <v>376</v>
      </c>
    </row>
    <row r="69" spans="1:5" ht="15">
      <c r="A69" s="26" t="s">
        <v>103</v>
      </c>
      <c r="B69" s="26" t="s">
        <v>104</v>
      </c>
      <c r="C69" s="26" t="s">
        <v>105</v>
      </c>
      <c r="D69" s="26" t="s">
        <v>106</v>
      </c>
      <c r="E69" s="26" t="s">
        <v>107</v>
      </c>
    </row>
    <row r="70" spans="1:5" ht="12.75">
      <c r="A70" s="23" t="s">
        <v>293</v>
      </c>
      <c r="B70" s="4" t="s">
        <v>377</v>
      </c>
      <c r="C70" s="4" t="s">
        <v>114</v>
      </c>
      <c r="D70" s="4" t="s">
        <v>72</v>
      </c>
      <c r="E70" s="27" t="s">
        <v>378</v>
      </c>
    </row>
    <row r="71" spans="1:5" ht="12.75">
      <c r="A71" s="23" t="s">
        <v>298</v>
      </c>
      <c r="B71" s="4" t="s">
        <v>379</v>
      </c>
      <c r="C71" s="4" t="s">
        <v>114</v>
      </c>
      <c r="D71" s="4" t="s">
        <v>302</v>
      </c>
      <c r="E71" s="27" t="s">
        <v>380</v>
      </c>
    </row>
    <row r="72" spans="1:5" ht="12.75">
      <c r="A72" s="23" t="s">
        <v>266</v>
      </c>
      <c r="B72" s="4" t="s">
        <v>381</v>
      </c>
      <c r="C72" s="4" t="s">
        <v>382</v>
      </c>
      <c r="D72" s="4" t="s">
        <v>273</v>
      </c>
      <c r="E72" s="27" t="s">
        <v>383</v>
      </c>
    </row>
    <row r="73" spans="1:5" ht="12.75">
      <c r="A73" s="23" t="s">
        <v>274</v>
      </c>
      <c r="B73" s="4" t="s">
        <v>381</v>
      </c>
      <c r="C73" s="4" t="s">
        <v>119</v>
      </c>
      <c r="D73" s="4" t="s">
        <v>194</v>
      </c>
      <c r="E73" s="27" t="s">
        <v>384</v>
      </c>
    </row>
    <row r="74" spans="1:5" ht="12.75">
      <c r="A74" s="23" t="s">
        <v>354</v>
      </c>
      <c r="B74" s="4" t="s">
        <v>385</v>
      </c>
      <c r="C74" s="4" t="s">
        <v>181</v>
      </c>
      <c r="D74" s="4" t="s">
        <v>272</v>
      </c>
      <c r="E74" s="27" t="s">
        <v>386</v>
      </c>
    </row>
    <row r="75" spans="1:5" ht="12.75">
      <c r="A75" s="23" t="s">
        <v>279</v>
      </c>
      <c r="B75" s="4" t="s">
        <v>385</v>
      </c>
      <c r="C75" s="4" t="s">
        <v>222</v>
      </c>
      <c r="D75" s="4" t="s">
        <v>387</v>
      </c>
      <c r="E75" s="27" t="s">
        <v>388</v>
      </c>
    </row>
    <row r="77" spans="1:2" ht="14.25">
      <c r="A77" s="24"/>
      <c r="B77" s="25" t="s">
        <v>112</v>
      </c>
    </row>
    <row r="78" spans="1:5" ht="15">
      <c r="A78" s="26" t="s">
        <v>103</v>
      </c>
      <c r="B78" s="26" t="s">
        <v>104</v>
      </c>
      <c r="C78" s="26" t="s">
        <v>105</v>
      </c>
      <c r="D78" s="26" t="s">
        <v>106</v>
      </c>
      <c r="E78" s="26" t="s">
        <v>107</v>
      </c>
    </row>
    <row r="79" spans="1:5" ht="12.75">
      <c r="A79" s="23" t="s">
        <v>65</v>
      </c>
      <c r="B79" s="4" t="s">
        <v>113</v>
      </c>
      <c r="C79" s="4" t="s">
        <v>114</v>
      </c>
      <c r="D79" s="4" t="s">
        <v>42</v>
      </c>
      <c r="E79" s="27" t="s">
        <v>389</v>
      </c>
    </row>
    <row r="81" spans="1:2" ht="14.25">
      <c r="A81" s="24"/>
      <c r="B81" s="25" t="s">
        <v>102</v>
      </c>
    </row>
    <row r="82" spans="1:5" ht="15">
      <c r="A82" s="26" t="s">
        <v>103</v>
      </c>
      <c r="B82" s="26" t="s">
        <v>104</v>
      </c>
      <c r="C82" s="26" t="s">
        <v>105</v>
      </c>
      <c r="D82" s="26" t="s">
        <v>106</v>
      </c>
      <c r="E82" s="26" t="s">
        <v>107</v>
      </c>
    </row>
    <row r="83" spans="1:5" ht="12.75">
      <c r="A83" s="23" t="s">
        <v>287</v>
      </c>
      <c r="B83" s="4" t="s">
        <v>102</v>
      </c>
      <c r="C83" s="4" t="s">
        <v>222</v>
      </c>
      <c r="D83" s="4" t="s">
        <v>292</v>
      </c>
      <c r="E83" s="27" t="s">
        <v>390</v>
      </c>
    </row>
    <row r="84" spans="1:5" ht="12.75">
      <c r="A84" s="23" t="s">
        <v>332</v>
      </c>
      <c r="B84" s="4" t="s">
        <v>102</v>
      </c>
      <c r="C84" s="4" t="s">
        <v>175</v>
      </c>
      <c r="D84" s="4" t="s">
        <v>337</v>
      </c>
      <c r="E84" s="27" t="s">
        <v>391</v>
      </c>
    </row>
    <row r="85" spans="1:5" ht="12.75">
      <c r="A85" s="23" t="s">
        <v>305</v>
      </c>
      <c r="B85" s="4" t="s">
        <v>102</v>
      </c>
      <c r="C85" s="4" t="s">
        <v>114</v>
      </c>
      <c r="D85" s="4" t="s">
        <v>38</v>
      </c>
      <c r="E85" s="27" t="s">
        <v>392</v>
      </c>
    </row>
    <row r="86" spans="1:5" ht="12.75">
      <c r="A86" s="23" t="s">
        <v>321</v>
      </c>
      <c r="B86" s="4" t="s">
        <v>102</v>
      </c>
      <c r="C86" s="4" t="s">
        <v>126</v>
      </c>
      <c r="D86" s="4" t="s">
        <v>326</v>
      </c>
      <c r="E86" s="27" t="s">
        <v>393</v>
      </c>
    </row>
    <row r="87" spans="1:5" ht="12.75">
      <c r="A87" s="23" t="s">
        <v>211</v>
      </c>
      <c r="B87" s="4" t="s">
        <v>102</v>
      </c>
      <c r="C87" s="4" t="s">
        <v>178</v>
      </c>
      <c r="D87" s="4" t="s">
        <v>367</v>
      </c>
      <c r="E87" s="27" t="s">
        <v>394</v>
      </c>
    </row>
    <row r="88" spans="1:5" ht="12.75">
      <c r="A88" s="23" t="s">
        <v>216</v>
      </c>
      <c r="B88" s="4" t="s">
        <v>102</v>
      </c>
      <c r="C88" s="4" t="s">
        <v>178</v>
      </c>
      <c r="D88" s="4" t="s">
        <v>40</v>
      </c>
      <c r="E88" s="27" t="s">
        <v>395</v>
      </c>
    </row>
    <row r="89" spans="1:5" ht="12.75">
      <c r="A89" s="23" t="s">
        <v>312</v>
      </c>
      <c r="B89" s="4" t="s">
        <v>102</v>
      </c>
      <c r="C89" s="4" t="s">
        <v>114</v>
      </c>
      <c r="D89" s="4" t="s">
        <v>161</v>
      </c>
      <c r="E89" s="27" t="s">
        <v>396</v>
      </c>
    </row>
    <row r="90" spans="1:5" ht="12.75">
      <c r="A90" s="23" t="s">
        <v>327</v>
      </c>
      <c r="B90" s="4" t="s">
        <v>102</v>
      </c>
      <c r="C90" s="4" t="s">
        <v>126</v>
      </c>
      <c r="D90" s="4" t="s">
        <v>331</v>
      </c>
      <c r="E90" s="27" t="s">
        <v>397</v>
      </c>
    </row>
    <row r="91" spans="1:5" ht="12.75">
      <c r="A91" s="23" t="s">
        <v>338</v>
      </c>
      <c r="B91" s="4" t="s">
        <v>102</v>
      </c>
      <c r="C91" s="4" t="s">
        <v>175</v>
      </c>
      <c r="D91" s="4" t="s">
        <v>72</v>
      </c>
      <c r="E91" s="27" t="s">
        <v>398</v>
      </c>
    </row>
    <row r="93" spans="1:2" ht="14.25">
      <c r="A93" s="24"/>
      <c r="B93" s="25" t="s">
        <v>124</v>
      </c>
    </row>
    <row r="94" spans="1:5" ht="15">
      <c r="A94" s="26" t="s">
        <v>103</v>
      </c>
      <c r="B94" s="26" t="s">
        <v>104</v>
      </c>
      <c r="C94" s="26" t="s">
        <v>105</v>
      </c>
      <c r="D94" s="26" t="s">
        <v>106</v>
      </c>
      <c r="E94" s="26" t="s">
        <v>107</v>
      </c>
    </row>
    <row r="95" spans="1:5" ht="12.75">
      <c r="A95" s="23" t="s">
        <v>197</v>
      </c>
      <c r="B95" s="4" t="s">
        <v>224</v>
      </c>
      <c r="C95" s="4" t="s">
        <v>126</v>
      </c>
      <c r="D95" s="4" t="s">
        <v>41</v>
      </c>
      <c r="E95" s="27" t="s">
        <v>225</v>
      </c>
    </row>
    <row r="96" spans="1:5" ht="12.75">
      <c r="A96" s="23" t="s">
        <v>369</v>
      </c>
      <c r="B96" s="4" t="s">
        <v>239</v>
      </c>
      <c r="C96" s="4" t="s">
        <v>178</v>
      </c>
      <c r="D96" s="4" t="s">
        <v>292</v>
      </c>
      <c r="E96" s="27" t="s">
        <v>399</v>
      </c>
    </row>
    <row r="97" spans="1:5" ht="12.75">
      <c r="A97" s="23" t="s">
        <v>317</v>
      </c>
      <c r="B97" s="4" t="s">
        <v>125</v>
      </c>
      <c r="C97" s="4" t="s">
        <v>114</v>
      </c>
      <c r="D97" s="4" t="s">
        <v>72</v>
      </c>
      <c r="E97" s="27" t="s">
        <v>400</v>
      </c>
    </row>
    <row r="98" spans="1:5" ht="12.75">
      <c r="A98" s="23" t="s">
        <v>349</v>
      </c>
      <c r="B98" s="4" t="s">
        <v>125</v>
      </c>
      <c r="C98" s="4" t="s">
        <v>175</v>
      </c>
      <c r="D98" s="4" t="s">
        <v>353</v>
      </c>
      <c r="E98" s="27" t="s">
        <v>401</v>
      </c>
    </row>
    <row r="99" spans="1:5" ht="12.75">
      <c r="A99" s="23" t="s">
        <v>207</v>
      </c>
      <c r="B99" s="4" t="s">
        <v>184</v>
      </c>
      <c r="C99" s="4" t="s">
        <v>181</v>
      </c>
      <c r="D99" s="4" t="s">
        <v>39</v>
      </c>
      <c r="E99" s="27" t="s">
        <v>402</v>
      </c>
    </row>
    <row r="100" spans="1:5" ht="12.75">
      <c r="A100" s="23" t="s">
        <v>202</v>
      </c>
      <c r="B100" s="4" t="s">
        <v>184</v>
      </c>
      <c r="C100" s="4" t="s">
        <v>175</v>
      </c>
      <c r="D100" s="4" t="s">
        <v>233</v>
      </c>
      <c r="E100" s="27" t="s">
        <v>403</v>
      </c>
    </row>
    <row r="101" spans="1:5" ht="12.75">
      <c r="A101" s="23" t="s">
        <v>343</v>
      </c>
      <c r="B101" s="4" t="s">
        <v>184</v>
      </c>
      <c r="C101" s="4" t="s">
        <v>175</v>
      </c>
      <c r="D101" s="4" t="s">
        <v>72</v>
      </c>
      <c r="E101" s="27" t="s">
        <v>404</v>
      </c>
    </row>
    <row r="102" spans="1:5" ht="12.75">
      <c r="A102" s="23" t="s">
        <v>361</v>
      </c>
      <c r="B102" s="4" t="s">
        <v>184</v>
      </c>
      <c r="C102" s="4" t="s">
        <v>181</v>
      </c>
      <c r="D102" s="4" t="s">
        <v>72</v>
      </c>
      <c r="E102" s="27" t="s">
        <v>405</v>
      </c>
    </row>
  </sheetData>
  <sheetProtection/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6:L46"/>
    <mergeCell ref="A14:L14"/>
    <mergeCell ref="A17:L17"/>
    <mergeCell ref="A21:L21"/>
    <mergeCell ref="A29:L29"/>
    <mergeCell ref="A34:L34"/>
    <mergeCell ref="A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242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155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7" t="s">
        <v>244</v>
      </c>
      <c r="B6" s="7" t="s">
        <v>245</v>
      </c>
      <c r="C6" s="7" t="s">
        <v>246</v>
      </c>
      <c r="D6" s="7" t="str">
        <f>"0,5402"</f>
        <v>0,5402</v>
      </c>
      <c r="E6" s="7" t="s">
        <v>247</v>
      </c>
      <c r="F6" s="7" t="s">
        <v>193</v>
      </c>
      <c r="G6" s="8" t="s">
        <v>29</v>
      </c>
      <c r="H6" s="8" t="s">
        <v>41</v>
      </c>
      <c r="I6" s="8" t="s">
        <v>62</v>
      </c>
      <c r="J6" s="9"/>
      <c r="K6" s="7" t="str">
        <f>"130,0"</f>
        <v>130,0</v>
      </c>
      <c r="L6" s="8" t="str">
        <f>"96,9119"</f>
        <v>96,9119</v>
      </c>
      <c r="M6" s="7" t="s">
        <v>30</v>
      </c>
    </row>
    <row r="8" ht="15">
      <c r="E8" s="20" t="s">
        <v>95</v>
      </c>
    </row>
    <row r="9" ht="15">
      <c r="E9" s="20" t="s">
        <v>96</v>
      </c>
    </row>
    <row r="10" ht="15">
      <c r="E10" s="20" t="s">
        <v>97</v>
      </c>
    </row>
    <row r="11" ht="15">
      <c r="E11" s="20" t="s">
        <v>98</v>
      </c>
    </row>
    <row r="12" ht="15">
      <c r="E12" s="20" t="s">
        <v>98</v>
      </c>
    </row>
    <row r="13" ht="15">
      <c r="E13" s="20" t="s">
        <v>99</v>
      </c>
    </row>
    <row r="14" ht="15">
      <c r="E14" s="20"/>
    </row>
    <row r="16" spans="1:2" ht="18">
      <c r="A16" s="21" t="s">
        <v>100</v>
      </c>
      <c r="B16" s="21"/>
    </row>
    <row r="17" spans="1:2" ht="15">
      <c r="A17" s="22" t="s">
        <v>111</v>
      </c>
      <c r="B17" s="22"/>
    </row>
    <row r="18" spans="1:2" ht="14.25">
      <c r="A18" s="24"/>
      <c r="B18" s="25" t="s">
        <v>124</v>
      </c>
    </row>
    <row r="19" spans="1:5" ht="15">
      <c r="A19" s="26" t="s">
        <v>103</v>
      </c>
      <c r="B19" s="26" t="s">
        <v>104</v>
      </c>
      <c r="C19" s="26" t="s">
        <v>105</v>
      </c>
      <c r="D19" s="26" t="s">
        <v>106</v>
      </c>
      <c r="E19" s="26" t="s">
        <v>107</v>
      </c>
    </row>
    <row r="20" spans="1:5" ht="12.75">
      <c r="A20" s="23" t="s">
        <v>243</v>
      </c>
      <c r="B20" s="4" t="s">
        <v>248</v>
      </c>
      <c r="C20" s="4" t="s">
        <v>181</v>
      </c>
      <c r="D20" s="4" t="s">
        <v>62</v>
      </c>
      <c r="E20" s="27" t="s">
        <v>249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9" t="s">
        <v>229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1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0</v>
      </c>
      <c r="B3" s="67" t="s">
        <v>6</v>
      </c>
      <c r="C3" s="67" t="s">
        <v>7</v>
      </c>
      <c r="D3" s="69" t="s">
        <v>10</v>
      </c>
      <c r="E3" s="69" t="s">
        <v>4</v>
      </c>
      <c r="F3" s="69" t="s">
        <v>8</v>
      </c>
      <c r="G3" s="69" t="s">
        <v>12</v>
      </c>
      <c r="H3" s="69"/>
      <c r="I3" s="69"/>
      <c r="J3" s="69"/>
      <c r="K3" s="69" t="s">
        <v>228</v>
      </c>
      <c r="L3" s="69" t="s">
        <v>3</v>
      </c>
      <c r="M3" s="70" t="s">
        <v>2</v>
      </c>
    </row>
    <row r="4" spans="1:13" s="1" customFormat="1" ht="21" customHeight="1" thickBot="1">
      <c r="A4" s="66"/>
      <c r="B4" s="68"/>
      <c r="C4" s="68"/>
      <c r="D4" s="68"/>
      <c r="E4" s="68"/>
      <c r="F4" s="68"/>
      <c r="G4" s="5">
        <v>1</v>
      </c>
      <c r="H4" s="5">
        <v>2</v>
      </c>
      <c r="I4" s="5">
        <v>3</v>
      </c>
      <c r="J4" s="5" t="s">
        <v>5</v>
      </c>
      <c r="K4" s="68"/>
      <c r="L4" s="68"/>
      <c r="M4" s="71"/>
    </row>
    <row r="5" spans="1:12" ht="15">
      <c r="A5" s="72" t="s">
        <v>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12.75">
      <c r="A6" s="11" t="s">
        <v>231</v>
      </c>
      <c r="B6" s="11" t="s">
        <v>232</v>
      </c>
      <c r="C6" s="11" t="s">
        <v>91</v>
      </c>
      <c r="D6" s="11" t="str">
        <f>"0,5881"</f>
        <v>0,5881</v>
      </c>
      <c r="E6" s="11" t="s">
        <v>36</v>
      </c>
      <c r="F6" s="11" t="s">
        <v>93</v>
      </c>
      <c r="G6" s="12" t="s">
        <v>161</v>
      </c>
      <c r="H6" s="12" t="s">
        <v>84</v>
      </c>
      <c r="I6" s="13" t="s">
        <v>233</v>
      </c>
      <c r="J6" s="13"/>
      <c r="K6" s="11" t="str">
        <f>"160,0"</f>
        <v>160,0</v>
      </c>
      <c r="L6" s="12" t="str">
        <f>"95,7897"</f>
        <v>95,7897</v>
      </c>
      <c r="M6" s="11" t="s">
        <v>30</v>
      </c>
    </row>
    <row r="7" spans="1:13" ht="12.75">
      <c r="A7" s="14" t="s">
        <v>198</v>
      </c>
      <c r="B7" s="14" t="s">
        <v>199</v>
      </c>
      <c r="C7" s="14" t="s">
        <v>200</v>
      </c>
      <c r="D7" s="14" t="str">
        <f>"0,5978"</f>
        <v>0,5978</v>
      </c>
      <c r="E7" s="14" t="s">
        <v>19</v>
      </c>
      <c r="F7" s="14" t="s">
        <v>80</v>
      </c>
      <c r="G7" s="15" t="s">
        <v>196</v>
      </c>
      <c r="H7" s="15" t="s">
        <v>201</v>
      </c>
      <c r="I7" s="15" t="s">
        <v>41</v>
      </c>
      <c r="J7" s="16"/>
      <c r="K7" s="14" t="str">
        <f>"125,0"</f>
        <v>125,0</v>
      </c>
      <c r="L7" s="15" t="str">
        <f>"143,4720"</f>
        <v>143,4720</v>
      </c>
      <c r="M7" s="14" t="s">
        <v>30</v>
      </c>
    </row>
    <row r="9" spans="1:12" ht="15">
      <c r="A9" s="58" t="s">
        <v>162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2.75">
      <c r="A10" s="7" t="s">
        <v>235</v>
      </c>
      <c r="B10" s="7" t="s">
        <v>236</v>
      </c>
      <c r="C10" s="7" t="s">
        <v>237</v>
      </c>
      <c r="D10" s="7" t="str">
        <f>"0,5342"</f>
        <v>0,5342</v>
      </c>
      <c r="E10" s="7" t="s">
        <v>19</v>
      </c>
      <c r="F10" s="7" t="s">
        <v>215</v>
      </c>
      <c r="G10" s="8" t="s">
        <v>38</v>
      </c>
      <c r="H10" s="8" t="s">
        <v>169</v>
      </c>
      <c r="I10" s="9" t="s">
        <v>238</v>
      </c>
      <c r="J10" s="9"/>
      <c r="K10" s="7" t="str">
        <f>"175,0"</f>
        <v>175,0</v>
      </c>
      <c r="L10" s="8" t="str">
        <f>"124,3351"</f>
        <v>124,3351</v>
      </c>
      <c r="M10" s="7" t="s">
        <v>30</v>
      </c>
    </row>
    <row r="12" ht="15">
      <c r="E12" s="20" t="s">
        <v>95</v>
      </c>
    </row>
    <row r="13" ht="15">
      <c r="E13" s="20" t="s">
        <v>96</v>
      </c>
    </row>
    <row r="14" ht="15">
      <c r="E14" s="20" t="s">
        <v>97</v>
      </c>
    </row>
    <row r="15" ht="15">
      <c r="E15" s="20" t="s">
        <v>98</v>
      </c>
    </row>
    <row r="16" ht="15">
      <c r="E16" s="20" t="s">
        <v>98</v>
      </c>
    </row>
    <row r="17" ht="15">
      <c r="E17" s="20" t="s">
        <v>99</v>
      </c>
    </row>
    <row r="18" ht="15">
      <c r="E18" s="20"/>
    </row>
    <row r="20" spans="1:2" ht="18">
      <c r="A20" s="21" t="s">
        <v>100</v>
      </c>
      <c r="B20" s="21"/>
    </row>
    <row r="21" spans="1:2" ht="15">
      <c r="A21" s="22" t="s">
        <v>111</v>
      </c>
      <c r="B21" s="22"/>
    </row>
    <row r="22" spans="1:2" ht="14.25">
      <c r="A22" s="24"/>
      <c r="B22" s="25" t="s">
        <v>124</v>
      </c>
    </row>
    <row r="23" spans="1:5" ht="15">
      <c r="A23" s="26" t="s">
        <v>103</v>
      </c>
      <c r="B23" s="26" t="s">
        <v>104</v>
      </c>
      <c r="C23" s="26" t="s">
        <v>105</v>
      </c>
      <c r="D23" s="26" t="s">
        <v>106</v>
      </c>
      <c r="E23" s="26" t="s">
        <v>107</v>
      </c>
    </row>
    <row r="24" spans="1:5" ht="12.75">
      <c r="A24" s="23" t="s">
        <v>197</v>
      </c>
      <c r="B24" s="4" t="s">
        <v>224</v>
      </c>
      <c r="C24" s="4" t="s">
        <v>126</v>
      </c>
      <c r="D24" s="4" t="s">
        <v>41</v>
      </c>
      <c r="E24" s="27" t="s">
        <v>225</v>
      </c>
    </row>
    <row r="25" spans="1:5" ht="12.75">
      <c r="A25" s="23" t="s">
        <v>234</v>
      </c>
      <c r="B25" s="4" t="s">
        <v>239</v>
      </c>
      <c r="C25" s="4" t="s">
        <v>178</v>
      </c>
      <c r="D25" s="4" t="s">
        <v>169</v>
      </c>
      <c r="E25" s="27" t="s">
        <v>240</v>
      </c>
    </row>
    <row r="26" spans="1:5" ht="12.75">
      <c r="A26" s="23" t="s">
        <v>230</v>
      </c>
      <c r="B26" s="4" t="s">
        <v>184</v>
      </c>
      <c r="C26" s="4" t="s">
        <v>126</v>
      </c>
      <c r="D26" s="4" t="s">
        <v>84</v>
      </c>
      <c r="E26" s="27" t="s">
        <v>241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2019-10-02T17:28:25Z</dcterms:modified>
  <cp:category/>
  <cp:version/>
  <cp:contentType/>
  <cp:contentStatus/>
</cp:coreProperties>
</file>